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DIPRON\Mapas de Riesgos\corrupcion\"/>
    </mc:Choice>
  </mc:AlternateContent>
  <bookViews>
    <workbookView xWindow="-120" yWindow="-120" windowWidth="20730" windowHeight="11040" firstSheet="1" activeTab="5"/>
  </bookViews>
  <sheets>
    <sheet name="Datos" sheetId="4" state="hidden" r:id="rId1"/>
    <sheet name="Direccionamiento Estrategico" sheetId="1" r:id="rId2"/>
    <sheet name="Servicio a la Ciudadania" sheetId="5" r:id="rId3"/>
    <sheet name="Comunicacion Estrategica" sheetId="6" r:id="rId4"/>
    <sheet name="Gestion del Conocimiento" sheetId="7" r:id="rId5"/>
    <sheet name="Gestión Tics" sheetId="8" r:id="rId6"/>
  </sheets>
  <externalReferences>
    <externalReference r:id="rId7"/>
    <externalReference r:id="rId8"/>
    <externalReference r:id="rId9"/>
    <externalReference r:id="rId10"/>
  </externalReferences>
  <definedNames>
    <definedName name="_xlnm.Print_Area" localSheetId="3">'Comunicacion Estrategica'!$A$1:$AK$21</definedName>
    <definedName name="_xlnm.Print_Area" localSheetId="1">'Direccionamiento Estrategico'!$A$1:$AG$22</definedName>
    <definedName name="_xlnm.Print_Area" localSheetId="4">'Gestion del Conocimiento'!$A$1:$AK$19</definedName>
    <definedName name="_xlnm.Print_Area" localSheetId="5">'Gestión Tics'!$A$1:$AK$19</definedName>
    <definedName name="_xlnm.Print_Area" localSheetId="2">'Servicio a la Ciudadania'!$A$1:$AG$22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8" l="1"/>
  <c r="S23" i="8"/>
  <c r="V22" i="8"/>
  <c r="S22" i="8"/>
  <c r="V21" i="8"/>
  <c r="S21" i="8"/>
  <c r="V20" i="8"/>
  <c r="S20" i="8"/>
  <c r="K20" i="8"/>
  <c r="L20" i="8" s="1"/>
  <c r="M20" i="8" s="1"/>
  <c r="H20" i="8"/>
  <c r="I20" i="8" s="1"/>
  <c r="Z20" i="8" s="1"/>
  <c r="V19" i="8"/>
  <c r="S19" i="8"/>
  <c r="V17" i="8"/>
  <c r="S17" i="8"/>
  <c r="K17" i="8"/>
  <c r="L17" i="8" s="1"/>
  <c r="M17" i="8" s="1"/>
  <c r="H17" i="8"/>
  <c r="AD17" i="8" l="1"/>
  <c r="AC17" i="8" s="1"/>
  <c r="N17" i="8"/>
  <c r="O17" i="8" s="1"/>
  <c r="AD19" i="8"/>
  <c r="AC19" i="8" s="1"/>
  <c r="AD21" i="8"/>
  <c r="AC21" i="8" s="1"/>
  <c r="AB20" i="8"/>
  <c r="Z21" i="8" s="1"/>
  <c r="AA20" i="8"/>
  <c r="AE20" i="8" s="1"/>
  <c r="AF20" i="8" s="1"/>
  <c r="I17" i="8"/>
  <c r="Z17" i="8" s="1"/>
  <c r="AD18" i="8"/>
  <c r="AC18" i="8" s="1"/>
  <c r="N20" i="8"/>
  <c r="O20" i="8" s="1"/>
  <c r="AD20" i="8"/>
  <c r="AC20" i="8" s="1"/>
  <c r="AA21" i="8" l="1"/>
  <c r="AE21" i="8" s="1"/>
  <c r="AF21" i="8" s="1"/>
  <c r="AB21" i="8"/>
  <c r="Z22" i="8" s="1"/>
  <c r="AD22" i="8"/>
  <c r="AB17" i="8"/>
  <c r="Z18" i="8" s="1"/>
  <c r="AA17" i="8"/>
  <c r="AE17" i="8" s="1"/>
  <c r="AF17" i="8" s="1"/>
  <c r="AA18" i="8" l="1"/>
  <c r="AE18" i="8" s="1"/>
  <c r="AF18" i="8" s="1"/>
  <c r="AB18" i="8"/>
  <c r="Z19" i="8" s="1"/>
  <c r="AC22" i="8"/>
  <c r="AD23" i="8"/>
  <c r="AC23" i="8" s="1"/>
  <c r="AB22" i="8"/>
  <c r="Z23" i="8" s="1"/>
  <c r="AA22" i="8"/>
  <c r="AE22" i="8" s="1"/>
  <c r="AF22" i="8" s="1"/>
  <c r="AB23" i="8" l="1"/>
  <c r="AA23" i="8"/>
  <c r="AE23" i="8" s="1"/>
  <c r="AF23" i="8" s="1"/>
  <c r="AB19" i="8"/>
  <c r="AA19" i="8"/>
  <c r="AE19" i="8" s="1"/>
  <c r="AF19" i="8" s="1"/>
  <c r="V19" i="7" l="1"/>
  <c r="S19" i="7"/>
  <c r="V18" i="7"/>
  <c r="S18" i="7"/>
  <c r="AD19" i="7" s="1"/>
  <c r="AC19" i="7" s="1"/>
  <c r="V17" i="7"/>
  <c r="S17" i="7"/>
  <c r="K17" i="7"/>
  <c r="L17" i="7" s="1"/>
  <c r="M17" i="7" s="1"/>
  <c r="H17" i="7"/>
  <c r="N17" i="7" l="1"/>
  <c r="O17" i="7" s="1"/>
  <c r="I17" i="7"/>
  <c r="Z17" i="7"/>
  <c r="AD17" i="7"/>
  <c r="AC17" i="7" s="1"/>
  <c r="AB17" i="7" l="1"/>
  <c r="Z18" i="7" s="1"/>
  <c r="AA17" i="7"/>
  <c r="AE17" i="7" s="1"/>
  <c r="AF17" i="7" s="1"/>
  <c r="AD18" i="7"/>
  <c r="AC18" i="7" s="1"/>
  <c r="AB18" i="7" l="1"/>
  <c r="Z19" i="7" s="1"/>
  <c r="AA18" i="7"/>
  <c r="AE18" i="7" s="1"/>
  <c r="AF18" i="7" s="1"/>
  <c r="AB19" i="7" l="1"/>
  <c r="AA19" i="7"/>
  <c r="AE19" i="7" s="1"/>
  <c r="AF19" i="7" s="1"/>
  <c r="V27" i="6" l="1"/>
  <c r="S27" i="6"/>
  <c r="V26" i="6"/>
  <c r="S26" i="6"/>
  <c r="K26" i="6"/>
  <c r="L26" i="6" s="1"/>
  <c r="M26" i="6" s="1"/>
  <c r="AD27" i="6" s="1"/>
  <c r="AC27" i="6" s="1"/>
  <c r="I26" i="6"/>
  <c r="Z26" i="6" s="1"/>
  <c r="H26" i="6"/>
  <c r="V25" i="6"/>
  <c r="S25" i="6"/>
  <c r="V24" i="6"/>
  <c r="S24" i="6"/>
  <c r="V23" i="6"/>
  <c r="S23" i="6"/>
  <c r="V22" i="6"/>
  <c r="S22" i="6"/>
  <c r="L22" i="6"/>
  <c r="M22" i="6" s="1"/>
  <c r="AD22" i="6" s="1"/>
  <c r="AC22" i="6" s="1"/>
  <c r="K22" i="6"/>
  <c r="I22" i="6"/>
  <c r="Z22" i="6" s="1"/>
  <c r="H22" i="6"/>
  <c r="N22" i="6" s="1"/>
  <c r="O22" i="6" s="1"/>
  <c r="V21" i="6"/>
  <c r="S21" i="6"/>
  <c r="V20" i="6"/>
  <c r="S20" i="6"/>
  <c r="V19" i="6"/>
  <c r="S19" i="6"/>
  <c r="V18" i="6"/>
  <c r="S18" i="6"/>
  <c r="V17" i="6"/>
  <c r="S17" i="6"/>
  <c r="K17" i="6"/>
  <c r="L17" i="6" s="1"/>
  <c r="H17" i="6"/>
  <c r="I17" i="6" s="1"/>
  <c r="AD24" i="6" l="1"/>
  <c r="AC24" i="6" s="1"/>
  <c r="N26" i="6"/>
  <c r="O26" i="6" s="1"/>
  <c r="AB26" i="6"/>
  <c r="AA26" i="6"/>
  <c r="AD26" i="6"/>
  <c r="AC26" i="6" s="1"/>
  <c r="AB22" i="6"/>
  <c r="Z23" i="6" s="1"/>
  <c r="AA22" i="6"/>
  <c r="AE22" i="6" s="1"/>
  <c r="AF22" i="6" s="1"/>
  <c r="M17" i="6"/>
  <c r="AD20" i="6" s="1"/>
  <c r="N17" i="6"/>
  <c r="O17" i="6" s="1"/>
  <c r="Z17" i="6"/>
  <c r="Z27" i="6"/>
  <c r="AD17" i="6"/>
  <c r="AC17" i="6" s="1"/>
  <c r="AD23" i="6"/>
  <c r="AC23" i="6" s="1"/>
  <c r="AD19" i="6"/>
  <c r="AC19" i="6" s="1"/>
  <c r="AD25" i="6"/>
  <c r="AC25" i="6" s="1"/>
  <c r="AC20" i="6" l="1"/>
  <c r="AD21" i="6"/>
  <c r="AC21" i="6" s="1"/>
  <c r="AA23" i="6"/>
  <c r="AE23" i="6" s="1"/>
  <c r="AF23" i="6" s="1"/>
  <c r="AB23" i="6"/>
  <c r="Z24" i="6" s="1"/>
  <c r="AB17" i="6"/>
  <c r="Z18" i="6" s="1"/>
  <c r="AA17" i="6"/>
  <c r="AE17" i="6" s="1"/>
  <c r="AF17" i="6" s="1"/>
  <c r="AD18" i="6"/>
  <c r="AC18" i="6" s="1"/>
  <c r="AB27" i="6"/>
  <c r="AA27" i="6"/>
  <c r="AE27" i="6" s="1"/>
  <c r="AF27" i="6" s="1"/>
  <c r="AE26" i="6"/>
  <c r="AF26" i="6" s="1"/>
  <c r="AB18" i="6" l="1"/>
  <c r="Z19" i="6" s="1"/>
  <c r="AA18" i="6"/>
  <c r="AE18" i="6" s="1"/>
  <c r="AF18" i="6" s="1"/>
  <c r="AB24" i="6"/>
  <c r="Z25" i="6" s="1"/>
  <c r="AA24" i="6"/>
  <c r="AE24" i="6" s="1"/>
  <c r="AF24" i="6" s="1"/>
  <c r="AB25" i="6" l="1"/>
  <c r="AA25" i="6"/>
  <c r="AE25" i="6" s="1"/>
  <c r="AF25" i="6" s="1"/>
  <c r="AA19" i="6"/>
  <c r="AE19" i="6" s="1"/>
  <c r="AF19" i="6" s="1"/>
  <c r="AB19" i="6"/>
  <c r="Z20" i="6" s="1"/>
  <c r="AB20" i="6" l="1"/>
  <c r="Z21" i="6" s="1"/>
  <c r="AA20" i="6"/>
  <c r="AE20" i="6" s="1"/>
  <c r="AF20" i="6" s="1"/>
  <c r="AA21" i="6" l="1"/>
  <c r="AE21" i="6" s="1"/>
  <c r="AF21" i="6" s="1"/>
  <c r="AB21" i="6"/>
  <c r="L22" i="5" l="1"/>
  <c r="L21" i="5"/>
  <c r="L20" i="5"/>
  <c r="L19" i="5"/>
  <c r="L18" i="5"/>
  <c r="L17" i="5"/>
  <c r="L16" i="5"/>
  <c r="M16" i="5" s="1"/>
  <c r="M19" i="5" s="1"/>
  <c r="G16" i="5"/>
  <c r="H16" i="5" s="1"/>
  <c r="O19" i="5" l="1"/>
  <c r="P16" i="5"/>
  <c r="Q19" i="5" l="1"/>
  <c r="R16" i="5" s="1"/>
  <c r="S16" i="5" s="1"/>
  <c r="T16" i="5" s="1"/>
  <c r="O16" i="5"/>
  <c r="G16" i="1" l="1"/>
  <c r="H16" i="1" s="1"/>
  <c r="L22" i="1"/>
  <c r="L21" i="1"/>
  <c r="L20" i="1"/>
  <c r="L19" i="1"/>
  <c r="L18" i="1"/>
  <c r="L17" i="1"/>
  <c r="L16" i="1"/>
  <c r="M16" i="1" l="1"/>
  <c r="M19" i="1" s="1"/>
  <c r="O19" i="1" s="1"/>
  <c r="Q19" i="1" s="1"/>
  <c r="R16" i="1" s="1"/>
  <c r="S16" i="1" s="1"/>
  <c r="T16" i="1" s="1"/>
  <c r="P16" i="1" l="1"/>
  <c r="O16" i="1"/>
</calcChain>
</file>

<file path=xl/comments1.xml><?xml version="1.0" encoding="utf-8"?>
<comments xmlns="http://schemas.openxmlformats.org/spreadsheetml/2006/main">
  <authors>
    <author>tc={81918C6B-9413-42DA-B687-5AB2FE1F9C00}</author>
  </authors>
  <commentList>
    <comment ref="G1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frecuencia todos los días de un año en el que pueden suceder situaciones referentes a la filtración de información</t>
        </r>
      </text>
    </comment>
  </commentList>
</comments>
</file>

<file path=xl/comments2.xml><?xml version="1.0" encoding="utf-8"?>
<comments xmlns="http://schemas.openxmlformats.org/spreadsheetml/2006/main">
  <authors>
    <author>tc={C0908167-EFE4-43EC-9D1E-DAFB8E41F04B}</author>
  </authors>
  <commentList>
    <comment ref="G1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numero de seguimientos al plan de acción</t>
        </r>
      </text>
    </comment>
  </commentList>
</comments>
</file>

<file path=xl/sharedStrings.xml><?xml version="1.0" encoding="utf-8"?>
<sst xmlns="http://schemas.openxmlformats.org/spreadsheetml/2006/main" count="667" uniqueCount="360">
  <si>
    <t>PROBABILIDAD INHERENTE</t>
  </si>
  <si>
    <t>IMPACTO INHERENTE</t>
  </si>
  <si>
    <t>CONDICIONES RIESGO INHERENTE</t>
  </si>
  <si>
    <t>¿Existe un responsable asignado a la ejecución del control?</t>
  </si>
  <si>
    <t>Asignado</t>
  </si>
  <si>
    <t>No Asignado</t>
  </si>
  <si>
    <t>MUY BAJA</t>
  </si>
  <si>
    <t>MODERADO</t>
  </si>
  <si>
    <t>MUY BAJA - MODERADO</t>
  </si>
  <si>
    <t>¿El responsable tiene la autoridad y adecuada segregación de funciones en la ejecución del control?</t>
  </si>
  <si>
    <t>Adecuado</t>
  </si>
  <si>
    <t>Inadecuado</t>
  </si>
  <si>
    <t>BAJA</t>
  </si>
  <si>
    <t>MAYOR</t>
  </si>
  <si>
    <t>MUY BAJA - MAYOR</t>
  </si>
  <si>
    <t>ALTO</t>
  </si>
  <si>
    <t>¿La oportunidad en que se ejecuta el control ayuda a prevenir la mitigación del riesgo o a detectar la materialización del riesgo de manera oportuna?</t>
  </si>
  <si>
    <t>Oportuna</t>
  </si>
  <si>
    <t>Inoportuna</t>
  </si>
  <si>
    <t>MEDIA</t>
  </si>
  <si>
    <t>CATASTRÓFICO</t>
  </si>
  <si>
    <t>MUY BAJA - CATASTRÓFICO</t>
  </si>
  <si>
    <t>EXTREMO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</si>
  <si>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</si>
  <si>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</si>
  <si>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</si>
  <si>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</si>
  <si>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</si>
  <si>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BAJA - MODERADO</t>
  </si>
  <si>
    <t>¿La fuente de información que se utiliza en el desarrollo del control es información confiable que permita mitigar el riesgo?</t>
  </si>
  <si>
    <t>Confiable</t>
  </si>
  <si>
    <t>No Confiable</t>
  </si>
  <si>
    <t>MUY ALTA</t>
  </si>
  <si>
    <t>BAJA - MAYOR</t>
  </si>
  <si>
    <t>¿Las observaciones, desviaciones o diferencias identificadas como resultados de la ejecución del control son investigadas y resueltas de manera oportuna?</t>
  </si>
  <si>
    <t>Se investigan y resuelven oportunamente</t>
  </si>
  <si>
    <t>No se investigan, ni resuelven oportunamente</t>
  </si>
  <si>
    <t>BAJA - CATASTRÓFICO</t>
  </si>
  <si>
    <t>¿Se deja evidencia o rastro de la ejecución del control que permita a cualquier tercero con la evidencia llegar a la misma conclusión?</t>
  </si>
  <si>
    <t>Completa</t>
  </si>
  <si>
    <t>Incopleta</t>
  </si>
  <si>
    <t>No existe</t>
  </si>
  <si>
    <t>Opciones de Manejo</t>
  </si>
  <si>
    <t>MEDIA - MODERADO</t>
  </si>
  <si>
    <t>MEDIA - MAYOR</t>
  </si>
  <si>
    <t>REDUCIR EL RIESGO</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</si>
  <si>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</si>
  <si>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</si>
  <si>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</si>
  <si>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</si>
  <si>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</si>
  <si>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</si>
  <si>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</si>
  <si>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</si>
  <si>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</si>
  <si>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¿SE MATERIALIZO EL RIESGO DURANTE EL PERIODO?</t>
  </si>
  <si>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</si>
  <si>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</si>
  <si>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</si>
  <si>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</si>
  <si>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NO</t>
  </si>
  <si>
    <t>DIRECCIONAMIENTO ESTRATÉGICO</t>
  </si>
  <si>
    <t>CÓDIGO</t>
  </si>
  <si>
    <t>E-DES-FT-020</t>
  </si>
  <si>
    <t>VERSIÓN</t>
  </si>
  <si>
    <t>02</t>
  </si>
  <si>
    <t>MAPA DE RIESGOS DE CORRUPCIÓN</t>
  </si>
  <si>
    <t>PÁGINA</t>
  </si>
  <si>
    <t xml:space="preserve">1 de 1 </t>
  </si>
  <si>
    <t>VIGENTE DESDE</t>
  </si>
  <si>
    <t>PROCESO</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</si>
  <si>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</si>
  <si>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</si>
  <si>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</si>
  <si>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</si>
  <si>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</si>
  <si>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2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</si>
  <si>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</si>
  <si>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</si>
  <si>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</si>
  <si>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</si>
  <si>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</si>
  <si>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</si>
  <si>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</si>
  <si>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</si>
  <si>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</si>
  <si>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</si>
  <si>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</si>
  <si>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</si>
  <si>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</si>
  <si>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</si>
  <si>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</si>
  <si>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</si>
  <si>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</si>
  <si>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</si>
  <si>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</si>
  <si>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</si>
  <si>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</si>
  <si>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</si>
  <si>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</si>
  <si>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</si>
  <si>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</si>
  <si>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</si>
  <si>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</si>
  <si>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</si>
  <si>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</si>
  <si>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</si>
  <si>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</si>
  <si>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</si>
  <si>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</si>
  <si>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</si>
  <si>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</si>
  <si>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</si>
  <si>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</si>
  <si>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</si>
  <si>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</si>
  <si>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</si>
  <si>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</si>
  <si>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</si>
  <si>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</si>
  <si>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 xml:space="preserve">El Jefe de la Oficina Asesora de Planeación cada vez que se formula la planeación estratégica y los proyectos de inversión, realiza mesas de trabajo verificando que se inviten a los lideres de los procesos, jefes de oficina y sus equipos de trabajo con el fin de que sea un proceso participativo.
El funcionario o contratista encargado de hacer el seguimiento a la planeación, revisa que los datos de la consulta de Bigdata mensual conicida con la ejecución presupuestal por meta reportada en los informes de ejecución por parte de la administración de los proyectos de inversión y sube la información en el Sistema de Seguimiento de Proyectos de Inversión - SPI </t>
  </si>
  <si>
    <t>ASIGNADO</t>
  </si>
  <si>
    <t>FUERTE (Siempre se Ejecuta)</t>
  </si>
  <si>
    <t>DIRECTAMENTE</t>
  </si>
  <si>
    <t>Se realiza la reformulación o seguimiento, se prepara la información y se emite un nuevo informe corrigiendo los datos emitidos inicalmente</t>
  </si>
  <si>
    <t>Revisar los lineamientos establecidos para realizar la formulación de la planeación y el seguimiento y en caso de ser necesario ajustar los documentos del proceso</t>
  </si>
  <si>
    <t>01/05/2022 a 30/11/2022</t>
  </si>
  <si>
    <t xml:space="preserve">Control No. 1: El Control se ejecuta cada cuatro años cuando se formula la plataforma estratégica o en caso de que haya algun ajuste de fondo a la misma. En el periodo de septiembre a diciembre no fue necesario aplicar el control toda vez que no se realizaron ajustes de fondo a la plataforma estratégica.
Control No. 2: Durante el periodo evaluado, septiembre a diciembre de 2023. se realizó la revisión de los datos de la consulta de bigdata contra la ejecución presupuestal y se subio esta información al sistema de seguimiento de proyectos de inversión SPI. Se adjuntan los informes SPI de los meses de Septiembre, Octube y Noviembre, los correspondientes al mes de diciembre se subiran en el mes de enero </t>
  </si>
  <si>
    <t>En el mes de octubre se realizó el ajuste del procedimiento Formulación y Seguimiento de la Planeación Institucional el cual ya se encuentra en su versión 04 de 20 de octubre de 2023. Seadjutna el procedimiento.</t>
  </si>
  <si>
    <t xml:space="preserve">No se matrializó el riesgo </t>
  </si>
  <si>
    <t>N.A</t>
  </si>
  <si>
    <t>Control No. 1: El proceso reporta que no s eejecutó el control toda vez que el mismo se aplica cada cuatro años cuando se formula la plataforma estratégica
Control No. 2: Se evidencia la aplicación del control con los reportes SPI de los meses de Septiembre, Octubre y Noviembre</t>
  </si>
  <si>
    <t>ADECUADO</t>
  </si>
  <si>
    <t>No. De columnas en la matriz de riesgo que se desplaza en el eje de la probabilidad.</t>
  </si>
  <si>
    <t>PREVENIR</t>
  </si>
  <si>
    <t>PRODUCTO O REGISTRO QUE QUEDA DE LA EJECUCIÓN DE LAS ACCIONES PARA FORTALECER EL RIESGO</t>
  </si>
  <si>
    <t>CONFIABLE</t>
  </si>
  <si>
    <t>SE INVESTIGAN Y SE RESUELVEN OPORTUNAMENTE</t>
  </si>
  <si>
    <t>Actas de reunión / Documentos ajustados</t>
  </si>
  <si>
    <t>COMPLETA</t>
  </si>
  <si>
    <t>No se reporta materialización del riesgo.</t>
  </si>
  <si>
    <t>Control 1: No se aportó evidencia que dé cuenta de la ejecución de la actividad de control.</t>
  </si>
  <si>
    <t>Control 2: Se evidenció la ejecución de la actividad de control.</t>
  </si>
  <si>
    <t>Acciones de Fortalecimiento: Se evidenció la ejecución de la Acción de Fortalecimiento.</t>
  </si>
  <si>
    <t>SERVICIO A LA CIUDADANÍA</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</si>
  <si>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</si>
  <si>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</si>
  <si>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 xml:space="preserve">La información se encuentra disponible en un equipo y es vulnerable a ser modificada por un tercero.
Omisión en los tiempos de respuesta </t>
  </si>
  <si>
    <t>Entrega o divulgación de la información de los beneficiarios del Instituto por parte de los servidores del proceso Servicio a la Ciudadanía a un tercero para beneficio propio o de terceros ajenos a la Entidad</t>
  </si>
  <si>
    <t>Perdida de información
Demandas a la entidad
Procesos disciplinarios</t>
  </si>
  <si>
    <t>1. El responsable del Servicio a la Ciudadanía, cada vez que se inicia un contrato de prestación de servicios o se vincula un funcionario de planta al grupo de servicio a la ciudadanía, verifica que hayan firmado el acuerdo de confidencialidad, en donde se especifica el compromiso de los servidores frente a la no divulgación de la información que se maneja en el proceso. Adicionalmente se informan las sanciones a las que se ven expuestos en caso de infringir este requisito
2.  El responsable del Servicio a la Ciudadanía realiza jornadas de inducción y reinducción cada vez que es requerido en donde se especifica la prohibición de la entrega o divulgación de información del área a terceros.</t>
  </si>
  <si>
    <t>FUERTE (SIEMPRE SE EJECUTA)</t>
  </si>
  <si>
    <t>Informar a la ofcina de Control Disciplinario Interno para su conocimiento y gestión.
Realizar reinducción a todo el equipo del proceso de Servicio a la Ciudadanía</t>
  </si>
  <si>
    <t xml:space="preserve">Incluir dentro del ejercicio de Cliente Incógnito que se realiza a los servidores de Servicio a la Ciudadanía, preguntas relacionada con  la información personal de los beneficiarios con el fin de determinar que el lineamiento de no divulgar la información viene siendo aplicado. </t>
  </si>
  <si>
    <t>Abril a Diciembre de 2023</t>
  </si>
  <si>
    <t>Control No. 1: En el periodo evaluado se aplico el control de firma de los acuerdos de confidencialidad de los siete (7) servidores que ejecutan las actividades de Servicio a la Ciudadanía, adicionalmente se realizó reunión con los integrantes del equipo en la cual se realizó la recomendación de no suministrar información de caracter reservado de los beneficarios, servidores del Instituto y ciudadanía en general
Control No. 2 Se realizó la reunión del grupo de Servicio a la Ciudadanía el 12/12/2023, en la cual se recomendó no suministrar información de caracter reservado de los beneficarios, servidores del Instituto y ciudadanía en general.
La recomendación se encuentra en el pagina 1 númeral 2 del acta de reunión.</t>
  </si>
  <si>
    <t>En el perido evaluado se realizó el ejercicio de cliente incognito a cinco (5) servidores que atienden a la ciudadanía en los diferentes puntos de atención.
Posteriormente, se realizó la retroalimentación del ejercicio a los servidores en la reunión del 12 de diciembre de 2023; se hicieron las recomendaciones necesarias para responder correctamente de acuerdo al protocolo telefónico y se recomendó no brindar información de caracter reservado para no incurrir en faltas disciplinarias y/o sanciones.</t>
  </si>
  <si>
    <t xml:space="preserve">No Aplica
</t>
  </si>
  <si>
    <t>Control No.1: Se evidencia la aplicación del control con los formatos de acuerdos de confidencialidad de los servidores que forman parte del equipo de trabajo del proceso de Servicio a la Ciudadanía
Control No. 2: Se evidencia la aplicación del control con el acta de la reunion de capacitación en donde se socializó el lineamiento de no proporcionar información d ecaracter personal o reservada de los beneficiarios ni de la entidad.
Acciones de Fortalecimiento: Se evidencia el cumplimiento de la accion con los formatos diligenciados con el ejercicio de cliente incógnito y la retroalimentacion de los resultados.</t>
  </si>
  <si>
    <t>Control 1: Se evidenció la ejecución de la actividad de control.
Control 2: Se evidenció la ejecución de la actividad de control.
Acciones de Fortalecimiento: Se evidenció la ejecución de la Acción de Fotalecimiento.
No se reporta materialización del riesgo.</t>
  </si>
  <si>
    <t>Documentos del procesos actualizados</t>
  </si>
  <si>
    <t>GESTION DE COMUNICACIONES</t>
  </si>
  <si>
    <t>E-DES-FT-015</t>
  </si>
  <si>
    <t>10</t>
  </si>
  <si>
    <t>MAPA DE RIESGOS DE GESTIÓN</t>
  </si>
  <si>
    <t>1 DE 1</t>
  </si>
  <si>
    <t>Proceso</t>
  </si>
  <si>
    <t>COMUNICACION ESTRATÉGICA</t>
  </si>
  <si>
    <t>Objetivo del Proceso</t>
  </si>
  <si>
    <t xml:space="preserve">Divulgar y promocionar de manera veraz y efctiva la gestión del Instituto Distrital para la Protección de la Niñez y la Juventud -IDIPRON- a través del diseño y ejecución de un plan estratégico de comunicaciones que contemple el manejo adecuado de la comunicación  interna y externa del instituto, garantice el uso apropiado de la imagen institucional y el cumplimiento de las directrices distritales en materia de comunicaciones, empleando para ello, los canales de comunicación propios del Instituto y los medios de comunicación externa de carácter masivo, alternativo, digital o comunitario para el posicionamiento de la Entidad. </t>
  </si>
  <si>
    <t>Alcance</t>
  </si>
  <si>
    <t>El proceso inicia con la planificación de la gestión de la comunicación interna y externa para finalizar con la aprobación y divulgación de piezas de comunicación, contenidos informativos y pronunciamientos oficiales.</t>
  </si>
  <si>
    <t>GESTIÓN DEL RIESGO</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</si>
  <si>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</si>
  <si>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</si>
  <si>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</si>
  <si>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</si>
  <si>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</si>
  <si>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</si>
  <si>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</si>
  <si>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</si>
  <si>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</si>
  <si>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</si>
  <si>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</si>
  <si>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</si>
  <si>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</si>
  <si>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</si>
  <si>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</si>
  <si>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</si>
  <si>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</si>
  <si>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</si>
  <si>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</si>
  <si>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</si>
  <si>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</si>
  <si>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</si>
  <si>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</si>
  <si>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</si>
  <si>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</si>
  <si>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</si>
  <si>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</si>
  <si>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</si>
  <si>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</si>
  <si>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</si>
  <si>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</si>
  <si>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</si>
  <si>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</si>
  <si>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</si>
  <si>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</si>
  <si>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</si>
  <si>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</si>
  <si>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OBSERVACIONES OFICINA DE CONTROL INTERNO</t>
  </si>
  <si>
    <t>Reputacional</t>
  </si>
  <si>
    <t>Crisis mediatica</t>
  </si>
  <si>
    <t xml:space="preserve">Filtración de información </t>
  </si>
  <si>
    <t>Posibilidad de afectación reputacional por crisis mediatica debido a filtración de la información institucional o relacionada con el Instituto</t>
  </si>
  <si>
    <t>El riesgo afecta la imagen de la entidad con algunos usuarios de relevancia frente al logro de los objetivos.</t>
  </si>
  <si>
    <t>El lider del proceso cada vez que se requiera, establece políticas de operación encaminadas a determinar que la información divulgada sea controlada por la Oficina Asesora de Comunicaciones, estas politicas son establecidas dentro de la documentación del proceso.</t>
  </si>
  <si>
    <t>Preventivo</t>
  </si>
  <si>
    <t>Manual</t>
  </si>
  <si>
    <t>Manual de Comunicaciones
Politica de Comunicaciones</t>
  </si>
  <si>
    <t>Cada vez que se presenta la situación</t>
  </si>
  <si>
    <t>Caracterizacion del proceso</t>
  </si>
  <si>
    <t>ASUMIR EL RIESGO</t>
  </si>
  <si>
    <t xml:space="preserve">Riesgo 1 
Control No 1: 
El líder de la Oficina Asesora de Comunicaciones ha establecido políticas de operación encaminada a determinar la información divulgada la cual está proyectada en el documento “Caracterización del proceso” .
Control No 2: 
 El jefe de la Oficina Asesora de Comunicaciones ha realizado la divulgación de las políticas de operación por medio de talleres y correos masivos institucionales. 
-CORREO MASIVO:
14 de diciembre de 2023
 16 Y 17 de agosto de 2023
-TALLER PARA DIVULGACIÓN: Se realiza un taller para divulgar las políticas a los funcionarios. 
Control No 3:
 Durante el periodo septiembre y dieimbre  se vincularon a la oficina 05 contratistas a los cuales el Jefe de la Oficina Asesora de Comunicaciones verificó que cada uno firmara los formatos de  confidencialidad durante este periodo, de esta manera, se da cumplimiento a la acción. 
Control No 4: 
Este control no se ejecutó durante el periodo en la Oficina Asesora de Comunicaciones.
-NO HAY EVIDENCIAS 
Control No 5:
 Este control no se ejecutó durante el periodo en la Oficina Asesora de Comunicaciones.
-NO HAY EVIDENCIAS 
"
</t>
  </si>
  <si>
    <t>Control No. 1: Se evidencia la aplicación del control con la caracterización del proceso en donde el lider del proceso establece los lineamientos relacionados con que la información divulgada sea controlada por la Oficina Asesora de Comunicaicones
Control No. 2: Se evidencia la aplicación del control con la divulgación de las politicas del proceso a los diferentes actores internos. 
Control No. 3 Se evidencia la aplicación del control con la firma de los acuerdos de confidencialidad por parte de los miembros del equipo de la oficina asesora de comunicaciones
Control No. 4: El control se aplica cada vez que haya una crisis, durante el periodo evaluado no hubo necesidad de aplicarlo
Control No. 5: El control se aplica cada vez que haya una crisis, durante el periodo evaluado no hubo necesidad de aplicarlo</t>
  </si>
  <si>
    <t>Control 1: "se evidenció la ejecución de la actividad de control"
No se materializó riesgo</t>
  </si>
  <si>
    <t>El Jefe de la Oficina Asesora de Comunicaciones, realiza anualmente la divulgacion de las politicas de operación relacionadas con las publicaciones de la  información contempladas en el Manual de Comunicaciones  y Politica de Comunicaciones</t>
  </si>
  <si>
    <t>Anualmente</t>
  </si>
  <si>
    <t>Correos Electrónicos y/o  
Listados de Asistencia</t>
  </si>
  <si>
    <t xml:space="preserve">El funcionario o contratista de la Oficina Asesora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 </t>
  </si>
  <si>
    <t>Caracterización del proceso</t>
  </si>
  <si>
    <t xml:space="preserve">Acuerdo de confidencialidad - firmado  
</t>
  </si>
  <si>
    <t>Control 2: "se evidenció la ejecución de la actividad de control"
No se materializó riesgo</t>
  </si>
  <si>
    <t xml:space="preserve">En el momento en que se presente una crisis de comunicación o reputacional, el jefe de la oficina asesora de comunicaciones establece un comité de crisis compuesto por el director y su equipo directivo, con el fin de analizar el manejo que se debe dar a la situación y la estrategia de comunicaciones que se implementará. </t>
  </si>
  <si>
    <t>Correctivo</t>
  </si>
  <si>
    <t>Manual de Crisis</t>
  </si>
  <si>
    <t>En el momento en que se presenta una crisis</t>
  </si>
  <si>
    <t xml:space="preserve">Comunicados oficiales de prensa </t>
  </si>
  <si>
    <t>Control 3: "se evidenció la ejecución de la actividad de control"
No se materializó riesgo</t>
  </si>
  <si>
    <t>En el momento en que se presente una crisis, el Jefe de la Oficina Asesora de Comunicaciones, implementa las actividades contempladas en el Manual de Crisis E-COE-DI-001 con el fin de trasmitir y resaltar resultados positivos procurando recuperar o fortalecer la confianza y credibilidad en los grupos de interés afectados</t>
  </si>
  <si>
    <t>Prnunciamientos del vocero, piezas audiovisuales, boletines informativos</t>
  </si>
  <si>
    <t>Control 4: "Se reportó que durante este periodo no se dio aplicación a la actividad de control" 
No se materializo riesgos
Control 5: "Se reportó que durante este periodo no se dio aplicación a la actividad de control" 
No se materializo riesgos
No se reportó acciones de fortalecimiento</t>
  </si>
  <si>
    <t>perdida de credibilidad del proceso de Comunicacion Estratégica</t>
  </si>
  <si>
    <t>Publicacion de información no veraz o inoportuna de información sobre la gestión de la entidad</t>
  </si>
  <si>
    <t>Posibilidad de afectación reputacional por perdida de credibilidad del proceso de Comunicacion Estratégica debido a Publicacion de información no veraz o  inoportuna  sobre la gestión de la entidad</t>
  </si>
  <si>
    <t>El riesgo afecta la imagen de la entidad internamente, de conocimiento general nivel interno, de junta directiva y/o de proveedores</t>
  </si>
  <si>
    <t>El lider del proceso cada vez que se requiera, establece politicas de operación encaminadas a determinar que la información divulgada sea controlada por la Oficina Asesora de Comunicaciones, estas politicas son establecidas dentro de la documentación del proceso.</t>
  </si>
  <si>
    <r>
      <rPr>
        <b/>
        <sz val="10"/>
        <color rgb="FF000000"/>
        <rFont val="Times New Roman"/>
      </rPr>
      <t xml:space="preserve">Riesgo 2
Control No 1: 
</t>
    </r>
    <r>
      <rPr>
        <sz val="10"/>
        <color rgb="FF000000"/>
        <rFont val="Times New Roman"/>
      </rPr>
      <t xml:space="preserve">El líder de la Oficina Asesora de Comunicaciones ha establecido políticas de operación encaminada a determinar la información divulgada la cual está proyectada en el documento “Caracterización del proceso” .
</t>
    </r>
    <r>
      <rPr>
        <b/>
        <sz val="10"/>
        <color rgb="FF000000"/>
        <rFont val="Times New Roman"/>
      </rPr>
      <t xml:space="preserve">Control No 2: 
</t>
    </r>
    <r>
      <rPr>
        <sz val="10"/>
        <color rgb="FF000000"/>
        <rFont val="Times New Roman"/>
      </rPr>
      <t xml:space="preserve"> El jefe de la Oficina Asesora de Comunicaciones ha realizado la divulgación de las políticas de operación por medio de talleres y correos masivos institucionales. 
-CORREO MASIVO:
14 de diciembre de 2023
 16 Y 17 de agosto de 2023
-TALLER PARA DIVULGACIÓN: Se realiza un taller para divulgar las políticas a los funcionarios. 
</t>
    </r>
    <r>
      <rPr>
        <b/>
        <sz val="10"/>
        <color rgb="FF000000"/>
        <rFont val="Times New Roman"/>
      </rPr>
      <t xml:space="preserve">Control No 3:
</t>
    </r>
    <r>
      <rPr>
        <sz val="10"/>
        <color rgb="FF000000"/>
        <rFont val="Times New Roman"/>
      </rPr>
      <t xml:space="preserve"> La Oficina Asesora de Comunicaciones, en el periodo septiembre a diciembre de 2023 recibió 87 solicitudes de publicación de información en la página web de la Entidad, revisando que las solicitudes se realizaran a través del FORMATO DE PUBLICACIÓN E-COE-FT-007. No obstante, se ha evidenciado que los procesos por error envían algunas solicitudes a través del formato E-COE-FT-01 las cuales se han tramitado para no afectar a los procesos, sin embargo, el proceso realizará la socialización para el uso correcto del formato establecido. 
-	Se adjuntan los formatos recibidos.
</t>
    </r>
    <r>
      <rPr>
        <b/>
        <sz val="10"/>
        <color rgb="FF000000"/>
        <rFont val="Times New Roman"/>
      </rPr>
      <t xml:space="preserve">Control No 4: 
</t>
    </r>
    <r>
      <rPr>
        <sz val="10"/>
        <color rgb="FF000000"/>
        <rFont val="Times New Roman"/>
      </rPr>
      <t xml:space="preserve">Este control no se ejecutó durante el periodo en la Oficina Asesora de Comunicaciones.
-NO HAY EVIDENCIAS </t>
    </r>
  </si>
  <si>
    <t>Control No. 1: Se evidencia la aplicación del control con la caracterización del proceso en donde el lider del proceso establece los lineamientos relacionados con que la información divulgada sea controlada por la Oficina Asesora de Comunicaicones
Control No. 2: Se evidencia la aplicación del control con la divulgación de las politicas del proceso a los diferentes actores internos. 
Control No. 3: Se evidencia la aplicación del control con la recepción de los formatos E-COE-FT-007 para realizar las publicaciones en la página web. El proceso ha detectado que se están utilizando por error formatos equivocados, se sugiere reforzar las capacitaciones para que se utilice el formato correcto.
CControl No. 4: Durante el periodo evaluado no se detectaron publicaciones no veraces o inoportunas por lo tanto no hubo necesidad de aplicar el control.
Acciones de Fortalecimiento: El riesgo no tiene acciones de fortalecimiento.</t>
  </si>
  <si>
    <t>Control 1: "se evidenció la ejecución de la actividad de control"
No se materializó riesgo</t>
  </si>
  <si>
    <t>Control 2: "se evidenció la ejecución de la actividad de control"
No se materializó riesgo</t>
  </si>
  <si>
    <t>El o la profesional universitario (a) de la Oficina Asesora de Comunicaciones, cada vez que se reciba una solicitud de publicación de información en la página web de la entidad  verifica que la solicitud incluya el Formato de Publicación E-COE-FT-007 debidamente diligenciado y si se encuentra correcto envía la solicitud a el o la WEB MASTER para que realice la publicación.</t>
  </si>
  <si>
    <t xml:space="preserve"> Publicación Portales WEB 
E-COE-PR-002</t>
  </si>
  <si>
    <t>Cada vez que un proceso requiere la publicación de información</t>
  </si>
  <si>
    <t>Formato de Publicación E-COE-FT-007</t>
  </si>
  <si>
    <t>Control 3: "se evidenció la ejecución de la actividad de control"
Se sugiere utlizar los formatos establecidos para la recepción de información que se va a publicar en la pagina web del IDIPRON.
No se materializó riesgo</t>
  </si>
  <si>
    <t>Cuando se detectan publicaciones de información no veraz o inoportuna, el líder del proceso procede a solicitar al dueño de la información  utilizar el conducto establecido en el proceso de comunicaciones y volver a enviar la comunicaciones en las condiciones apropiadas.</t>
  </si>
  <si>
    <t>Caracterizacion del Proceso</t>
  </si>
  <si>
    <t>Cuando se detectan publicaciones de información no veraz o inoportuna</t>
  </si>
  <si>
    <t>Correos electrónicos</t>
  </si>
  <si>
    <t>Control 4:  "Se reportó que durante este periodo no se dio aplicación a la actividad de control" 
No se materializó riesgo
No reportaron acciones de fortalecimiento</t>
  </si>
  <si>
    <t>Mal manejo de redes sociales</t>
  </si>
  <si>
    <t>Falta de protocolos para la gestión de las redes sociales de la entidad</t>
  </si>
  <si>
    <t>Posibilidad de afectación reputacional por mal manejo de redes sociales debido a falta de protocolos para la gestión de esas plataformas digitales</t>
  </si>
  <si>
    <t xml:space="preserve">El lider del proceso mensualmente realiza un comité en donde se revisa la parrilla de contenido con el fin de generar una retroalimentación a la información divulgada </t>
  </si>
  <si>
    <t>Administración de redes Sociales
 E-COM-PR-003</t>
  </si>
  <si>
    <t>Mensualmente</t>
  </si>
  <si>
    <t>Actas de reunión</t>
  </si>
  <si>
    <t>Actualizar el documento Administración de redes Sociales
 E-COM-PR-003</t>
  </si>
  <si>
    <t>Lider del proceso</t>
  </si>
  <si>
    <t xml:space="preserve">Riesgo 3:
Control No 1:
 El líder del proceso revisa en el comité de comunicaciones la parrilla de contenido con el fin de generar retroalimentación con la información divulgada. Así se da cumplimiento a este control. 
4 de septimbre de 2023
26 de octubre de 2023
14 de noviembre de 2023
11 de diciembre de 2023
Control  No 2:
 Este control no se ejecutó durante el periodo en la Oficina Asesora de Comunicaciones.
"
</t>
  </si>
  <si>
    <t xml:space="preserve">"Se realiza la oficialización del documento ""ADMINISTRACIÓN DE REDES
SOCIALES"" E-COE-PR-003
el día 28 de agosto de 2023"
</t>
  </si>
  <si>
    <t>Control No. 1: Se evidencia la aplicación del control con las actas de los comités en donde se revisan las parrillas de contenido mensualmente
Control No. 2: Durante el periodo no se detectaron contenido que estuviera en contravia de las politicas institucionales por lo tanto no hubo necesidad de aplicar el control.</t>
  </si>
  <si>
    <t xml:space="preserve">Cuando se detectan publicaciones en las plataformas digitales de la entidad de contenido que está en contravia de las politicas institucionales, el lider del proceso y/o el Comunnity Mannager procede a despublicar la información, corregirla y publicarla de nuevo. </t>
  </si>
  <si>
    <t>Administración de redes Sociales 
E-COE-PR-003</t>
  </si>
  <si>
    <t>Cuando se detectan publicaciones en las plataformas digitales de la entidad de contenido que está en contravia de las politicas institucionales</t>
  </si>
  <si>
    <t>Pantallazo ajuste realizado</t>
  </si>
  <si>
    <t>Control 2:  "Se reportó que durante este periodo no se dio aplicación a la actividad de control" 
No se materializó riesgo
No reportaron acciones de fortalecimiento</t>
  </si>
  <si>
    <t>GESTIÓN DEL CONOCIMIENTO Y LA INNOVACIÓN</t>
  </si>
  <si>
    <t>Consolidar el ciclo del conocimiento y la innovación mediante el desarrollo de acciones, mecanismos e instrumentos que permitan mejorar la prestación de los servicios sociales a los grupos de valor.</t>
  </si>
  <si>
    <t>Inicia con la generación y producción del conocimiento, el desarrollo de herramientas para su uso y apropiación y finaliza con la cultura de compartir y difundir el conocimiento que posibilite la toma de decisiones basado en evidencias.</t>
  </si>
  <si>
    <t>bajo desempeño institucional en los indices que miden a la entidad</t>
  </si>
  <si>
    <t xml:space="preserve">pérdida del capital intelectual </t>
  </si>
  <si>
    <t xml:space="preserve">Probabilidad de perdida reputacional por bajo desempeño institucional en los indices que miden a la entidad ocasionado por pérdida del capital intelectual  </t>
  </si>
  <si>
    <t xml:space="preserve">Los gestores del proceso de Direccionamiento Estratégico cada 4 meses realizan el seguimiento a los avances reportados por los procesos a las acciones del plan de acción y genera alertas en los casos en los que detecta desviaciones importantes en el cumplimiento de las metas establecidas </t>
  </si>
  <si>
    <t>Procedimiento FORMULACIÓN Y SEGUIMIENTO DE LA PLANEACIÓN INSTITUCIONAL E-DES-PR-003</t>
  </si>
  <si>
    <t>cada 4 meses</t>
  </si>
  <si>
    <t>ACEPTAR EL RIESGO</t>
  </si>
  <si>
    <t xml:space="preserve">Incluir los controles definidos en la documentación del Sistema Integrado de Gerstión </t>
  </si>
  <si>
    <t>Profesional responsable Gestión del Conocimiento</t>
  </si>
  <si>
    <t>01/09/2023 al 31/12/2023</t>
  </si>
  <si>
    <t xml:space="preserve">Control No. 1: Durante el periodo evaluado septiembre - diciembre se realizó el seguimiento al plan de acción para lo cual se envió un correo con los lineamientos sobre la forma en que debeian realizarse dicho monitoreo, luego del seguimiento se envió un corrreo con las alertas sobre aciones que no fueron reportadas y tenian un avance inferior al esperado.
Control No. 2: Durante los meses de septiembre y diciembre, la oficina Asesora de planeación, como una de las tareas del empalme institucional con la administración entrante, ha venido adelantando la elaboración de un documento que consolida la gestion institucional de los ultimos años de manera que sirva para que la anueva administracion conozca los avances logrados. Se adjunta como evidencia el documento realizado que servira como base del informe de gestion 2023
Control No. 3: Como producto de los resultados del FURAG, el cual es un indice que mide el desempeño institucional, la Oficina Asesora de Planeación ha venido realizando mesas de trabajo con los procesos, analizando los resultados obtenidos y generando acciones enfocadas a aumentar la calificación obtenida.
</t>
  </si>
  <si>
    <t xml:space="preserve">Se incluyo el control No. 2 en la caractrizacion del proceso de Gestion del Conocmiento y la Inovación 
Se incluyo el control No. 3 en la Caracterización del proceso Seguimiento y Mejoramiento de la Gestión </t>
  </si>
  <si>
    <t>Control No. 1: Se evidencia la aplicación del control con la emision de los correos con los lineamientos para realizar el seguimiento y las alertas una vez se ha realizado el seguimiento por parte de la Oficina Asesora de Planeación
Control No. 2: Se evidencia la aplicación del control con la elaboración de los informes para el empalme insitucional que consolida la gestión institucional los cuales seran insumo para la construccion del informe de gestion institucional.
Control No. 3: Se evidencia la acplicacion del control con las actas de las mesas de trabajo desarrolladas con los procesos
Accion de fortalecimiento: Se evidencia la aplicacion del control con los ajustes en los documentos en donde se incluyen los controles del mapa de riesgos.</t>
  </si>
  <si>
    <t>Control No. 1: "se evidenció la ejecución de la actividad de control" 
No se materializó riesgo</t>
  </si>
  <si>
    <t>El funcionario o contratista designado por el jefe de la oficina asesora de planeación, consolida anualmente el informe de gestión de todos los procesos registrando la administración del capital intelectual realizado por los procesos y el documento resultante es publicado en la página web y enviado a los entes de control.</t>
  </si>
  <si>
    <t>Detectivo</t>
  </si>
  <si>
    <t>Caracterización del Proceso</t>
  </si>
  <si>
    <t>Informe de Gestión</t>
  </si>
  <si>
    <t>Control No. 2: "se evidenció la ejecución de la actividad de control" 
No se materializó riesgo</t>
  </si>
  <si>
    <t>El Jefe de la Oficina Asesora de Planeación cada vez que se presente un bajo desempeño institucional en los indices que miden a la entidad lidera el analisis de la calificación obtenida y formula un plan de mejoramiento que permita corregir las acciones que ocasionaron la pérdida del capítal intelectual que generó la variacion del resultado</t>
  </si>
  <si>
    <t xml:space="preserve">Caracterizacion del Proceso Seguimiento y mejoramiento de la Gestión </t>
  </si>
  <si>
    <t>cada vez que se presente un bajo desempeño institucional</t>
  </si>
  <si>
    <t>Plan con las acciones formuladas</t>
  </si>
  <si>
    <t>Control No. 3: "se evidenció la ejecución de la actividad de control" 
No se materializó riesgo
Acción de fortalecimiento: En los soportes aportados, se observa la caracterización de los procesos Gestión del Conocimiento y la Innovación; Seguimiento y Mejoramiento a la Gestión, más no se observa la aplicacióm del control a través del FURAG</t>
  </si>
  <si>
    <t>GESTIÓN TECNOLÓGICA Y DE LA INFORMACIÓN</t>
  </si>
  <si>
    <t>E-PLA-FT-020</t>
  </si>
  <si>
    <t>09</t>
  </si>
  <si>
    <t>GESTIÓN DE TICS</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</si>
  <si>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</si>
  <si>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</si>
  <si>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Observación de Impacto</t>
  </si>
  <si>
    <t>Quejas</t>
  </si>
  <si>
    <t>No contar o no dar cumplimiento a una estratégia para mejorar el uso de las herramientas y capacidades tecnológicas del Instituto</t>
  </si>
  <si>
    <t>Posibilidad de afectación reputacional por quejas ocasionadas por no contar o no dar cumplimiento a una estratégia para mejorar el uso de las herramientas y capacidades tecnológicas del Instituto</t>
  </si>
  <si>
    <t>El Jefe de la Oficina de Tics, cada cuatro años presenta el Plan Estratégico de Tecnología de la Información en donde se contemplan los proyectos y recursos que se requieren para el buen funcionamiento de la infraestructura de TI, el cual es aprobado por el Comité Institucional de Gestión y Desempeño</t>
  </si>
  <si>
    <t>Cada cuatro Años</t>
  </si>
  <si>
    <t>Actas de aprobación, Plan Formulado</t>
  </si>
  <si>
    <t xml:space="preserve">Realizar seguimiento al menos una vez cada tres meses a la ejecución de los proyectos de tecnología con el fin de evaluar su cumplimiento y la  ejecución de los recursos asignados </t>
  </si>
  <si>
    <t xml:space="preserve">Administradora del proyecto de inversión </t>
  </si>
  <si>
    <t>Control No.1: En la oficina de las TIC Se tiene el Plan Estratégico de Tecnología de la Información PETI. Se anexa Plan Estratégico de Tecnología de la Información PETI vigente en este momento y resolución de aprobación.
Control No.2: Se formuló el Plan Anual de Adquisiciones 2022 publicado en el SECOP a 30 de abril de 2023. También informe de seguimiento el cual es socializado en la reunión de seguimiento de la Oficina.
Control No.3: Durante los meses de septiembre a diciembre de este año se han presentado cambios  en el plan anual de adquisiones de la oficina de las TIC debido a la política de austeridad en el gasto presentada.  Se anexa informe de seguimiento a 15 de diciembre y soportes.</t>
  </si>
  <si>
    <t>Control No. 1: El controo tiene periodicidad de aplicacion de 4 años, el mismo se ha reportado ya en otros seguimientos.
Control No. 2: El control tiene periodicida de aplicación anual, el cual fue formulado al principio del año y se han presentado en los seguimientos anteriores.
Control No. 3 Se evidencia que se ha venido realizando seguimiento al PAAC de la oficina, sin embargo con el archivo denominado Seguimiento Ejecución PAA Tercer Cuatrimestre_Mapa de Riesgos no se puede determinar que el seguiiento se realice mensualmente. Se sugiere al proceso revisar las evidencias a fin de determinar la forma en que se puede ademostrar la realización mensual del seguimiento.
Acciones de fortalecimiento: Siendo las 3:12 pm del 26 de diciembre el proceso no ha reportado avances en el desarrollo de las acciones de fortalecimento formuladas.</t>
  </si>
  <si>
    <t>Control No. 1: "se evidenció la ejecución de la actividad de control" 
Se sugiere actualizar el PETI teniendo en cuenta los lineamientos del Modelo de Arquitectura Empresarial (MAE - V.3) dispuesto por MinTIC, y articularlo con los lineamientos generales en la implementación de la Politica de Gobierno Digital, según Decreto 767 del 2022.
No se materializó riesgos</t>
  </si>
  <si>
    <t>Los servidores o contratistas de la Oficina de Tics formulan anualmente  el Plan Anual de Adquisiciones en donde se registran los recursos requeridos por el proceso para la administración de la infraestructura tecnológica y de comunicaciones</t>
  </si>
  <si>
    <t>Probabilidad</t>
  </si>
  <si>
    <t>Anual</t>
  </si>
  <si>
    <t>Matriz Identificación de Necesidades, Actas de aprobación, Plan Formulado</t>
  </si>
  <si>
    <t>Control No. 2:  "se evidenció la ejecución de la actividad de control" 
No se materializó riesgos</t>
  </si>
  <si>
    <t xml:space="preserve">El funcionario o contratista designado por el Jefe de la Oficina de Tics,  hace un seguimiento mensual al plan anual de adquisiciones con el fin de establecer la disponibilidad de recursos necesarios para desarrollar la contratación requerida para la prestación de los servicios de TI. </t>
  </si>
  <si>
    <t>Mensual</t>
  </si>
  <si>
    <t>Informe ejecución plan anual de adquisiciones, correos de entrega de los procesos a la gerencia de contratación.</t>
  </si>
  <si>
    <t>Control No. 3:  "la evidencia aportada no permita verificar ejecución de la actividad de control, debido a que los soportes presentados, entre ellos; contratos de proveedores de TI, matriz de segumiendo al PAAC del segundo cuatrimestre,  no se observa que se aplique un seguimiento mensual al plan anual de adquisiciones con el fin de establecer la disponibilidad de recursos necesarios para desarrollar la contratación requerida para la prestación de los servicios de TI. 
Se sugiere al proceso revisar las evidencias a fin de establecer la forma en que se puede constatar el seguimiento mensual realizado al PAAC
No se materializó riesgos
No se observa acciones de fortalecimiento reportadas.</t>
  </si>
  <si>
    <t xml:space="preserve">Quejas </t>
  </si>
  <si>
    <t>Indisponibilidad de la información necesaria para el quehacer de la entidad</t>
  </si>
  <si>
    <t>Afectación reputacional por quejas ocasionadas por la Indisponibilidad de la información necesaria para el cumplimiento de las actividades desarrolladas por los procesos del Instituto</t>
  </si>
  <si>
    <t>El riesgo afecta la imagen de la entidad con efecto publicitario sostenido a nivel de sector administrativo o distrital</t>
  </si>
  <si>
    <t>El funcionario o contratista  de la Oficina de Tics responsable de realizar el backup, diariamente  ejecuta el procedimiento para la copia de seguridad o respaldo a los servidores y carpetas compartidas configuradas para tal fin y mensualmente se remite a custodia al proveedor contratado para éste servicio. En caso de que se detecte que la herramienta genera algún inconveniente a  la hora de realizar el backup, se procede a su configuración o parametrización.</t>
  </si>
  <si>
    <t>Automático</t>
  </si>
  <si>
    <t>Se encuentra documentado en el procedimiento Copia y resguardo de la información digital E-GTIC-PR-005</t>
  </si>
  <si>
    <t>Diario</t>
  </si>
  <si>
    <t>Bitacora de Backup</t>
  </si>
  <si>
    <t>Elaborar el Plan de Contingencia que establezca los lineamientos paracuando se presenten caidas prolongadas de la Página Web del IDIPRON.</t>
  </si>
  <si>
    <t>Jefe Oficina de TICS</t>
  </si>
  <si>
    <t>02/01/2024 al 30/04/2024</t>
  </si>
  <si>
    <t>Control No.1: Se realizó durante este periodo la toma de backup a los servidores y carpetas compartidas del instituto y se envío a custodia de las cintas con un proveedor externo. No se presentaron anomalías.Se anexan registro toma de backup y las cartas de envío a custodia.
Control No.2: Entre el 1 de septiembre y el 15 de dieciembre se detectaron y neutralizaron 1114 amenazas, de las cuales 57 amenazas se encontraban en dispositivos externos. Se anexa informe del antivirus.
Control No.3: Se realizó la verificación de accesos. Durante este período el firewall no detectó ataques. Se anexa informe.
Control No:4: Se llevó a cabo la contratación del servicio de hosting  a través del contrato 1258-2023 con la firma ROYAL TECH GROUP cuya fecha de inicio fue el 1 de junio.
Se anexa informes técnicos y de supervisión de los meses de septiembre, octubre, noviembre y diciembre.</t>
  </si>
  <si>
    <t>Control No.1: Se evidencia la aplicaicón del control con los backups diarios que se registran en el formato bitacora de backups
Control No. 2: Se evidencia la aplicación del control con el informe producto de la ejecución del antivirus durante el periodo evaluado
Control No. 3: no se puede evidenciar la aplicación del control debido a que no se aportó el informe mencionado en el reporte.
Control No. 4: Si bien el proceso reporta que se ha venido aplicando el control, con las evidencias aportadas no es posible determinar que se pueda dar cumplimeito al control el cual establece que la empresa que provee el hosting diariamiente 
Acciones de fortalecimiento: Siendo las 3:12 pm del 26 de diciembre el proceso no ha reportado avances en el desarrollo de las acciones de fortalecimento formuladas.</t>
  </si>
  <si>
    <t>Control No. 1: "se evidenció la ejecución de la actividad de control"  
No se materializo riegsos</t>
  </si>
  <si>
    <t>El funcionario o contratista  de la Oficina de Tics responsable de la administración del Antivirus, diariamente ejecuta las tareas y actualizaciones necesarias para su adecuada operación, en caso de que se detecte una situación de riesgo con algún equipo en especial, se procede a realizar intervención que corrija la situación detectada eliminando la amenaza presentada y normalizando la situación.</t>
  </si>
  <si>
    <t>Se encuentra documentado en el procedimiento Instalación de Software y hardware E-GTIC-PR-001</t>
  </si>
  <si>
    <t>Diariamente</t>
  </si>
  <si>
    <t>Informe de eventos presentados</t>
  </si>
  <si>
    <t>Control No. 2: "se evidenció la ejecución de la actividad de control"  
No se materializo riegsos</t>
  </si>
  <si>
    <t xml:space="preserve">El funcionario o contratista  de la Oficina de Tics responsable de la administración del Firewall, diariamente ejecuta las tareas, verificación de reglas y accesos no autorizados, en caso de que se detecte una situación de riesgo con algún equipo en especial, se procede a realizar intervención que corrija la situación detectada eliminando la amenaza presentada y normalizando la situación. </t>
  </si>
  <si>
    <t>Se encuentra documentado en el procedimiento Gestión de acceso a usuarios  E-GTIC-PR-006</t>
  </si>
  <si>
    <t>Establecer lineamientos encaminados a restringir el uso de los dispositivos externos en los computadores del instituto</t>
  </si>
  <si>
    <t>Control No. 3: "No se aportó evidencia que dé cuenta de la ejecución de la actividad de control" 
Se sugiere al responsable de la administración del Firewall, realizar un informe del comporamiento del firewall y en el se reporte la no detección de ataques en el periodo reportado.
No se materializo riegsos</t>
  </si>
  <si>
    <t>El proveedor que suministra el servicio de hosting, diariamente debe garantizar la disponibilidad de la página web de lDIPRON para la consulta de información por parte de los diferentes grupos de interés y ciudadanía en general. En caso de que se presente caída de la pagina web, se procede a contactar al proveedor para que establezca el motivo y corrija la situación restaurando el servicio.</t>
  </si>
  <si>
    <t>Contrato de prestación de servicio</t>
  </si>
  <si>
    <t>Informe del servicio contratado</t>
  </si>
  <si>
    <t>Control No.4 :  "la evidencia aportada no permita verificar ejecución de la actividad de control, debido a que las evidencias aportadas no es posible determinar que se pueda dar cumplimeito al control el cual establece que la empresa que provee el hosting diariamiente."
Se sugie reevisar las evidencias a fin de establecer la forma en que se puede constatar, los casos presentados por caída de la pagina web, como se procede a contactar al proveedor para que establezca el motivo y corrija la situación restaurando el servicio.
No se ha materializado riesgos.
No reportaron acciones de fortalecimiento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</si>
</sst>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29"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
      <sz val="10"/>
      <color rgb="FF000000"/>
      <name val="Times New Roman"/>
    </font>
    <font>
      <sz val="11"/>
      <color theme="1"/>
      <name val="Calibri"/>
      <family val="2"/>
      <scheme val="minor"/>
    </font>
    <font>
      <sz val="12"/>
      <color rgb="FF000000"/>
      <name val="Calibri"/>
      <family val="2"/>
      <charset val="1"/>
    </font>
    <font>
      <sz val="12"/>
      <color rgb="FFFF0000"/>
      <name val="Times New Roman"/>
      <family val="1"/>
    </font>
    <font>
      <b/>
      <sz val="18"/>
      <color theme="1"/>
      <name val="Times New Roman"/>
      <family val="1"/>
    </font>
    <font>
      <u/>
      <sz val="11"/>
      <color theme="1"/>
      <name val="Calibri"/>
      <family val="2"/>
      <scheme val="minor"/>
    </font>
    <font>
      <b/>
      <sz val="10"/>
      <color rgb="FF000000"/>
      <name val="Times New Roman"/>
    </font>
    <font>
      <sz val="11"/>
      <color rgb="FF444444"/>
      <name val="Calibri"/>
      <family val="2"/>
      <charset val="1"/>
    </font>
    <font>
      <sz val="11"/>
      <color rgb="FF000000"/>
      <name val="Times New Roman"/>
    </font>
    <font>
      <sz val="12"/>
      <color rgb="FF000000"/>
      <name val="Times New Roman"/>
      <family val="1"/>
    </font>
    <font>
      <sz val="12"/>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CE4D6"/>
        <bgColor indexed="64"/>
      </patternFill>
    </fill>
    <fill>
      <patternFill patternType="solid">
        <fgColor rgb="FFE2EFDA"/>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D6DCE4"/>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rgb="FF000000"/>
      </left>
      <right style="medium">
        <color rgb="FF000000"/>
      </right>
      <top style="medium">
        <color rgb="FF000000"/>
      </top>
      <bottom/>
      <diagonal/>
    </border>
    <border>
      <left/>
      <right style="thin">
        <color indexed="64"/>
      </right>
      <top/>
      <bottom/>
      <diagonal/>
    </border>
    <border>
      <left style="medium">
        <color rgb="FF000000"/>
      </left>
      <right style="medium">
        <color rgb="FF000000"/>
      </right>
      <top/>
      <bottom/>
      <diagonal/>
    </border>
    <border>
      <left/>
      <right style="thin">
        <color indexed="64"/>
      </right>
      <top/>
      <bottom style="thin">
        <color indexed="64"/>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medium">
        <color rgb="FF000000"/>
      </left>
      <right style="medium">
        <color rgb="FF000000"/>
      </right>
      <top/>
      <bottom style="medium">
        <color rgb="FF000000"/>
      </bottom>
      <diagonal/>
    </border>
    <border>
      <left style="thin">
        <color indexed="64"/>
      </left>
      <right/>
      <top/>
      <bottom style="thin">
        <color indexed="64"/>
      </bottom>
      <diagonal/>
    </border>
    <border>
      <left style="medium">
        <color rgb="FF000000"/>
      </left>
      <right style="medium">
        <color rgb="FF000000"/>
      </right>
      <top style="medium">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thin">
        <color indexed="64"/>
      </right>
      <top style="thin">
        <color rgb="FF000000"/>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thin">
        <color indexed="64"/>
      </top>
      <bottom style="medium">
        <color rgb="FF000000"/>
      </bottom>
      <diagonal/>
    </border>
    <border>
      <left/>
      <right style="thin">
        <color indexed="64"/>
      </right>
      <top style="thin">
        <color indexed="64"/>
      </top>
      <bottom style="medium">
        <color indexed="64"/>
      </bottom>
      <diagonal/>
    </border>
    <border>
      <left style="medium">
        <color indexed="64"/>
      </left>
      <right/>
      <top/>
      <bottom style="medium">
        <color rgb="FF000000"/>
      </bottom>
      <diagonal/>
    </border>
    <border>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thin">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top style="thin">
        <color indexed="64"/>
      </top>
      <bottom/>
      <diagonal/>
    </border>
    <border>
      <left style="thin">
        <color rgb="FF000000"/>
      </left>
      <right style="thin">
        <color rgb="FF000000"/>
      </right>
      <top/>
      <bottom style="thin">
        <color rgb="FF000000"/>
      </bottom>
      <diagonal/>
    </border>
  </borders>
  <cellStyleXfs count="2">
    <xf numFmtId="0" fontId="0" fillId="0" borderId="0"/>
    <xf numFmtId="41" fontId="19" fillId="0" borderId="0" applyFont="0" applyFill="0" applyBorder="0" applyAlignment="0" applyProtection="0"/>
  </cellStyleXfs>
  <cellXfs count="590">
    <xf numFmtId="0" fontId="0" fillId="0" borderId="0" xfId="0"/>
    <xf numFmtId="0" fontId="3" fillId="0" borderId="0" xfId="0" applyFont="1"/>
    <xf numFmtId="0" fontId="2" fillId="0" borderId="0" xfId="0" applyFont="1"/>
    <xf numFmtId="0" fontId="5"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8"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8" fillId="0" borderId="13" xfId="0" applyNumberFormat="1" applyFont="1" applyBorder="1" applyAlignment="1">
      <alignment horizontal="center" vertical="center"/>
    </xf>
    <xf numFmtId="0" fontId="8"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0" xfId="0" applyFont="1" applyAlignment="1">
      <alignment vertical="top" wrapText="1"/>
    </xf>
    <xf numFmtId="0" fontId="8" fillId="5" borderId="1" xfId="0" applyFont="1" applyFill="1" applyBorder="1" applyAlignment="1">
      <alignment horizontal="center" vertical="center" wrapText="1"/>
    </xf>
    <xf numFmtId="0" fontId="8" fillId="0" borderId="19" xfId="0" applyFont="1" applyBorder="1" applyAlignment="1">
      <alignment horizontal="justify" vertical="top"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0" xfId="0" applyFont="1" applyAlignment="1">
      <alignment horizontal="center"/>
    </xf>
    <xf numFmtId="0" fontId="5"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0" borderId="49" xfId="0" applyFont="1" applyBorder="1" applyAlignment="1">
      <alignment horizontal="justify" vertical="top" wrapText="1"/>
    </xf>
    <xf numFmtId="0" fontId="2" fillId="0" borderId="50" xfId="0" applyFont="1" applyBorder="1" applyAlignment="1" applyProtection="1">
      <alignment horizontal="center" vertical="center" wrapText="1"/>
      <protection locked="0"/>
    </xf>
    <xf numFmtId="1" fontId="8" fillId="0" borderId="50"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7" borderId="42" xfId="0" applyFont="1" applyFill="1" applyBorder="1" applyAlignment="1">
      <alignment horizontal="left" vertical="center"/>
    </xf>
    <xf numFmtId="0" fontId="2" fillId="2" borderId="40" xfId="0" applyFont="1" applyFill="1" applyBorder="1" applyAlignment="1">
      <alignment horizontal="center" vertical="center"/>
    </xf>
    <xf numFmtId="0" fontId="12" fillId="0" borderId="1" xfId="0" applyFont="1" applyBorder="1" applyAlignment="1">
      <alignment horizontal="center" vertical="center"/>
    </xf>
    <xf numFmtId="0" fontId="17" fillId="0" borderId="20" xfId="0" applyFont="1" applyBorder="1" applyAlignment="1" applyProtection="1">
      <alignment horizontal="left" vertical="center" wrapText="1"/>
      <protection locked="0"/>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0" fillId="2" borderId="1" xfId="0" applyFont="1" applyFill="1" applyBorder="1" applyAlignment="1">
      <alignment horizontal="center" vertical="center"/>
    </xf>
    <xf numFmtId="0" fontId="15" fillId="2" borderId="31"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5"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3" fillId="8" borderId="21" xfId="0" applyFont="1" applyFill="1" applyBorder="1" applyAlignment="1" applyProtection="1">
      <alignment horizontal="center" vertical="center" wrapText="1"/>
      <protection locked="0"/>
    </xf>
    <xf numFmtId="0" fontId="3" fillId="8" borderId="21" xfId="0" applyFont="1" applyFill="1" applyBorder="1" applyAlignment="1" applyProtection="1">
      <alignment horizontal="center" vertical="center"/>
      <protection locked="0"/>
    </xf>
    <xf numFmtId="0" fontId="3" fillId="8" borderId="43" xfId="0" applyFont="1" applyFill="1" applyBorder="1" applyAlignment="1" applyProtection="1">
      <alignment horizontal="center" vertical="center"/>
      <protection locked="0"/>
    </xf>
    <xf numFmtId="14" fontId="11" fillId="2" borderId="4"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8" xfId="0" applyFont="1" applyBorder="1" applyAlignment="1">
      <alignment horizontal="center" vertical="center" wrapText="1"/>
    </xf>
    <xf numFmtId="0" fontId="14" fillId="0" borderId="27"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8" xfId="0" applyFont="1" applyBorder="1" applyAlignment="1">
      <alignment horizontal="center" vertical="center" wrapText="1"/>
    </xf>
    <xf numFmtId="0" fontId="9"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0" borderId="8" xfId="0" applyFont="1" applyBorder="1" applyAlignment="1" applyProtection="1">
      <alignment horizontal="justify" vertical="center" wrapText="1"/>
      <protection locked="0"/>
    </xf>
    <xf numFmtId="0" fontId="14" fillId="0" borderId="10" xfId="0" applyFont="1" applyBorder="1" applyAlignment="1" applyProtection="1">
      <alignment horizontal="justify" vertical="center" wrapText="1"/>
      <protection locked="0"/>
    </xf>
    <xf numFmtId="0" fontId="14" fillId="0" borderId="48" xfId="0" applyFont="1" applyBorder="1" applyAlignment="1" applyProtection="1">
      <alignment horizontal="justify" vertical="center" wrapText="1"/>
      <protection locked="0"/>
    </xf>
    <xf numFmtId="14" fontId="3" fillId="0" borderId="21"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5"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3" fillId="0" borderId="21" xfId="0" applyFont="1" applyBorder="1" applyAlignment="1" applyProtection="1">
      <alignment horizontal="justify" vertical="center" wrapText="1"/>
      <protection locked="0"/>
    </xf>
    <xf numFmtId="0" fontId="13" fillId="0" borderId="43"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14" fillId="0" borderId="44" xfId="0" applyFont="1" applyBorder="1" applyAlignment="1" applyProtection="1">
      <alignment horizontal="justify" vertical="center"/>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8" xfId="0" applyFont="1" applyFill="1" applyBorder="1" applyAlignment="1">
      <alignment horizontal="center" vertical="center"/>
    </xf>
    <xf numFmtId="0" fontId="15" fillId="0" borderId="1" xfId="0" applyFont="1" applyBorder="1" applyAlignment="1" applyProtection="1">
      <alignment horizontal="justify" vertical="center" wrapText="1"/>
      <protection locked="0"/>
    </xf>
    <xf numFmtId="0" fontId="15" fillId="0" borderId="44" xfId="0" applyFont="1" applyBorder="1" applyAlignment="1" applyProtection="1">
      <alignment horizontal="justify" vertical="center" wrapText="1"/>
      <protection locked="0"/>
    </xf>
    <xf numFmtId="1" fontId="9" fillId="0" borderId="1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1" xfId="0" applyFont="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3" borderId="38" xfId="0" applyFont="1" applyFill="1" applyBorder="1" applyAlignment="1">
      <alignment horizontal="center" vertical="center"/>
    </xf>
    <xf numFmtId="0" fontId="2" fillId="3" borderId="0" xfId="0" applyFont="1" applyFill="1" applyAlignment="1">
      <alignment horizontal="center" vertical="center"/>
    </xf>
    <xf numFmtId="0" fontId="2" fillId="3" borderId="40" xfId="0" applyFont="1" applyFill="1" applyBorder="1" applyAlignment="1">
      <alignment horizontal="center" vertical="center"/>
    </xf>
    <xf numFmtId="0" fontId="14" fillId="0" borderId="27" xfId="0" applyFont="1" applyBorder="1" applyAlignment="1" applyProtection="1">
      <alignment horizontal="justify" vertical="center" wrapText="1"/>
      <protection locked="0"/>
    </xf>
    <xf numFmtId="0" fontId="14" fillId="0" borderId="46" xfId="0" applyFont="1" applyBorder="1" applyAlignment="1" applyProtection="1">
      <alignment horizontal="justify" vertical="center"/>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2" xfId="0" applyFont="1" applyBorder="1" applyAlignment="1" applyProtection="1">
      <alignment horizontal="center"/>
      <protection locked="0"/>
    </xf>
    <xf numFmtId="0" fontId="17" fillId="0" borderId="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18" fillId="0" borderId="27"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7" fillId="4" borderId="1"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8" xfId="0" applyFont="1" applyBorder="1" applyAlignment="1">
      <alignment horizontal="center" vertical="center" wrapText="1"/>
    </xf>
    <xf numFmtId="0" fontId="1" fillId="0" borderId="1" xfId="0" applyFont="1" applyBorder="1" applyAlignment="1">
      <alignment horizontal="center" vertical="center"/>
    </xf>
    <xf numFmtId="0" fontId="13" fillId="0" borderId="2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8" fillId="10" borderId="27" xfId="0" applyFont="1" applyFill="1" applyBorder="1" applyAlignment="1" applyProtection="1">
      <alignment horizontal="justify" vertical="center" wrapText="1"/>
      <protection locked="0"/>
    </xf>
    <xf numFmtId="0" fontId="14" fillId="0" borderId="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5" fillId="0" borderId="1" xfId="0" applyFont="1" applyBorder="1" applyAlignment="1" applyProtection="1">
      <alignment horizontal="justify" vertical="center"/>
      <protection locked="0"/>
    </xf>
    <xf numFmtId="0" fontId="8" fillId="10" borderId="46" xfId="0" applyFont="1" applyFill="1" applyBorder="1" applyAlignment="1" applyProtection="1">
      <alignment horizontal="justify" vertical="center"/>
      <protection locked="0"/>
    </xf>
    <xf numFmtId="0" fontId="14" fillId="0" borderId="1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11" borderId="27" xfId="0" applyFont="1" applyFill="1" applyBorder="1" applyAlignment="1" applyProtection="1">
      <alignment horizontal="center" vertical="center"/>
      <protection locked="0"/>
    </xf>
    <xf numFmtId="0" fontId="13" fillId="0" borderId="43"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protection locked="0"/>
    </xf>
    <xf numFmtId="0" fontId="15" fillId="0" borderId="44" xfId="0" applyFont="1" applyBorder="1" applyAlignment="1" applyProtection="1">
      <alignment horizontal="justify" vertical="center"/>
      <protection locked="0"/>
    </xf>
    <xf numFmtId="0" fontId="3" fillId="11" borderId="52" xfId="0" applyFont="1" applyFill="1" applyBorder="1" applyAlignment="1" applyProtection="1">
      <alignment horizontal="center" vertical="center"/>
      <protection locked="0"/>
    </xf>
    <xf numFmtId="0" fontId="14" fillId="0" borderId="48" xfId="0" applyFont="1" applyBorder="1" applyAlignment="1" applyProtection="1">
      <alignment horizontal="center" vertical="center" wrapText="1"/>
      <protection locked="0"/>
    </xf>
    <xf numFmtId="0" fontId="3" fillId="0" borderId="44" xfId="0" applyFont="1" applyBorder="1" applyAlignment="1" applyProtection="1">
      <alignment horizontal="left" vertical="center" wrapText="1"/>
      <protection locked="0"/>
    </xf>
    <xf numFmtId="0" fontId="17" fillId="0" borderId="44" xfId="0" applyFont="1" applyBorder="1" applyAlignment="1" applyProtection="1">
      <alignment horizontal="left" vertical="center" wrapText="1"/>
      <protection locked="0"/>
    </xf>
    <xf numFmtId="0" fontId="3" fillId="8" borderId="43" xfId="0" applyFont="1" applyFill="1" applyBorder="1" applyAlignment="1" applyProtection="1">
      <alignment horizontal="center" vertical="center" wrapText="1"/>
      <protection locked="0"/>
    </xf>
    <xf numFmtId="0" fontId="3" fillId="0" borderId="45" xfId="0" applyFont="1" applyBorder="1" applyAlignment="1" applyProtection="1">
      <alignment horizontal="left" vertical="center" wrapText="1"/>
      <protection locked="0"/>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2" fillId="0" borderId="56"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0" xfId="0" applyFont="1" applyAlignment="1">
      <alignment horizontal="center" vertical="center" wrapText="1"/>
    </xf>
    <xf numFmtId="0" fontId="9" fillId="0" borderId="3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5" xfId="0" applyFont="1" applyBorder="1" applyAlignment="1">
      <alignment horizontal="center" vertical="center" wrapText="1"/>
    </xf>
    <xf numFmtId="0" fontId="10" fillId="0" borderId="41" xfId="0" applyFont="1" applyBorder="1" applyAlignment="1">
      <alignment horizontal="center" vertical="center"/>
    </xf>
    <xf numFmtId="0" fontId="10" fillId="0" borderId="35" xfId="0" applyFont="1" applyBorder="1" applyAlignment="1">
      <alignment horizontal="center" vertical="center"/>
    </xf>
    <xf numFmtId="49" fontId="2" fillId="0" borderId="37"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0" fontId="9" fillId="0" borderId="4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5" xfId="0"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35" xfId="0" applyNumberFormat="1" applyFont="1" applyBorder="1" applyAlignment="1">
      <alignment horizontal="center" vertical="center" wrapText="1"/>
    </xf>
    <xf numFmtId="14" fontId="10" fillId="0" borderId="37" xfId="0" applyNumberFormat="1" applyFont="1" applyBorder="1" applyAlignment="1">
      <alignment horizontal="center" vertical="center"/>
    </xf>
    <xf numFmtId="0" fontId="10" fillId="12" borderId="1" xfId="0" applyFont="1" applyFill="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0" xfId="0" applyFont="1"/>
    <xf numFmtId="0" fontId="8" fillId="0" borderId="4"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5" xfId="0" applyFont="1" applyBorder="1" applyAlignment="1">
      <alignment horizontal="justify" vertical="center"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xf>
    <xf numFmtId="0" fontId="0" fillId="0" borderId="0" xfId="0" applyAlignment="1">
      <alignment horizontal="left"/>
    </xf>
    <xf numFmtId="0" fontId="8" fillId="0" borderId="7" xfId="0" applyFont="1" applyBorder="1" applyAlignment="1">
      <alignment horizontal="justify" vertical="center" wrapText="1"/>
    </xf>
    <xf numFmtId="0" fontId="8" fillId="0" borderId="5" xfId="0" applyFont="1" applyBorder="1" applyAlignment="1">
      <alignment horizontal="justify" vertical="center" wrapText="1"/>
    </xf>
    <xf numFmtId="0" fontId="10" fillId="0" borderId="0" xfId="0" applyFont="1" applyAlignment="1">
      <alignment horizontal="center" vertical="center" wrapText="1"/>
    </xf>
    <xf numFmtId="0" fontId="10" fillId="12" borderId="53" xfId="0" applyFont="1" applyFill="1" applyBorder="1" applyAlignment="1">
      <alignment horizontal="center" vertical="center" wrapText="1"/>
    </xf>
    <xf numFmtId="0" fontId="10" fillId="12" borderId="54" xfId="0" applyFont="1" applyFill="1" applyBorder="1" applyAlignment="1">
      <alignment horizontal="center" vertical="center" wrapText="1"/>
    </xf>
    <xf numFmtId="0" fontId="10" fillId="12" borderId="60" xfId="0" applyFont="1" applyFill="1" applyBorder="1" applyAlignment="1">
      <alignment horizontal="center" vertical="center" wrapText="1"/>
    </xf>
    <xf numFmtId="0" fontId="10" fillId="12" borderId="55" xfId="0" applyFont="1" applyFill="1" applyBorder="1" applyAlignment="1">
      <alignment horizontal="center" vertical="center" wrapText="1"/>
    </xf>
    <xf numFmtId="0" fontId="10" fillId="12" borderId="61" xfId="0" applyFont="1" applyFill="1" applyBorder="1" applyAlignment="1">
      <alignment horizontal="center"/>
    </xf>
    <xf numFmtId="0" fontId="10" fillId="12" borderId="62" xfId="0" applyFont="1" applyFill="1" applyBorder="1" applyAlignment="1">
      <alignment horizontal="center"/>
    </xf>
    <xf numFmtId="0" fontId="10" fillId="12" borderId="54" xfId="0" applyFont="1" applyFill="1" applyBorder="1" applyAlignment="1">
      <alignment horizontal="center"/>
    </xf>
    <xf numFmtId="0" fontId="10" fillId="12" borderId="63" xfId="0" applyFont="1" applyFill="1" applyBorder="1" applyAlignment="1">
      <alignment horizontal="center"/>
    </xf>
    <xf numFmtId="0" fontId="10" fillId="12" borderId="37" xfId="0" applyFont="1" applyFill="1" applyBorder="1" applyAlignment="1">
      <alignment horizontal="center" vertical="center"/>
    </xf>
    <xf numFmtId="0" fontId="10" fillId="12" borderId="38" xfId="0" applyFont="1" applyFill="1" applyBorder="1" applyAlignment="1">
      <alignment horizontal="center" vertical="center"/>
    </xf>
    <xf numFmtId="0" fontId="10" fillId="12" borderId="39" xfId="0" applyFont="1" applyFill="1" applyBorder="1" applyAlignment="1">
      <alignment horizontal="center" vertical="center"/>
    </xf>
    <xf numFmtId="0" fontId="10" fillId="12" borderId="2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8" fillId="12" borderId="64" xfId="0" applyFont="1" applyFill="1" applyBorder="1"/>
    <xf numFmtId="0" fontId="8" fillId="12" borderId="6" xfId="0" applyFont="1" applyFill="1" applyBorder="1"/>
    <xf numFmtId="0" fontId="10" fillId="12" borderId="1" xfId="0" applyFont="1" applyFill="1" applyBorder="1" applyAlignment="1">
      <alignment horizontal="center"/>
    </xf>
    <xf numFmtId="0" fontId="8" fillId="12" borderId="11" xfId="0" applyFont="1" applyFill="1" applyBorder="1" applyAlignment="1">
      <alignment horizontal="center"/>
    </xf>
    <xf numFmtId="0" fontId="8" fillId="12" borderId="26" xfId="0" applyFont="1" applyFill="1" applyBorder="1" applyAlignment="1">
      <alignment horizontal="center"/>
    </xf>
    <xf numFmtId="0" fontId="10" fillId="12" borderId="64" xfId="0"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5" xfId="0" applyFont="1" applyFill="1" applyBorder="1" applyAlignment="1">
      <alignment horizontal="center" vertical="center"/>
    </xf>
    <xf numFmtId="0" fontId="14" fillId="12" borderId="24" xfId="0" applyFont="1" applyFill="1" applyBorder="1" applyAlignment="1">
      <alignment horizontal="center" vertical="center" textRotation="90"/>
    </xf>
    <xf numFmtId="0" fontId="15" fillId="12" borderId="8" xfId="0" applyFont="1" applyFill="1" applyBorder="1" applyAlignment="1">
      <alignment horizontal="center" vertical="center"/>
    </xf>
    <xf numFmtId="0" fontId="14" fillId="12" borderId="8" xfId="0" applyFont="1" applyFill="1" applyBorder="1" applyAlignment="1">
      <alignment horizontal="center" vertical="center"/>
    </xf>
    <xf numFmtId="0" fontId="14" fillId="12" borderId="8"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8" fillId="12" borderId="27" xfId="0" applyFont="1" applyFill="1" applyBorder="1" applyAlignment="1">
      <alignment horizontal="center" vertical="center" textRotation="90" wrapText="1"/>
    </xf>
    <xf numFmtId="0" fontId="8" fillId="12" borderId="24" xfId="0" applyFont="1" applyFill="1" applyBorder="1" applyAlignment="1">
      <alignment horizontal="center" vertical="center" textRotation="90"/>
    </xf>
    <xf numFmtId="0" fontId="8" fillId="12" borderId="8" xfId="0" applyFont="1" applyFill="1" applyBorder="1" applyAlignment="1">
      <alignment horizontal="center" vertical="center"/>
    </xf>
    <xf numFmtId="0" fontId="10" fillId="12" borderId="8" xfId="0" applyFont="1" applyFill="1" applyBorder="1" applyAlignment="1">
      <alignment horizontal="center" vertical="center"/>
    </xf>
    <xf numFmtId="0" fontId="8" fillId="12" borderId="8" xfId="0" applyFont="1" applyFill="1" applyBorder="1" applyAlignment="1">
      <alignment horizontal="center" vertical="center" textRotation="90"/>
    </xf>
    <xf numFmtId="0" fontId="8" fillId="12" borderId="8" xfId="0" applyFont="1" applyFill="1" applyBorder="1" applyAlignment="1">
      <alignment horizontal="center" vertical="center" textRotation="90" wrapText="1"/>
    </xf>
    <xf numFmtId="0" fontId="8" fillId="12" borderId="24" xfId="0" applyFont="1" applyFill="1" applyBorder="1" applyAlignment="1">
      <alignment horizontal="center" vertical="center"/>
    </xf>
    <xf numFmtId="0" fontId="8" fillId="12" borderId="27" xfId="0" applyFont="1" applyFill="1" applyBorder="1" applyAlignment="1">
      <alignment horizontal="center" vertical="center" wrapText="1"/>
    </xf>
    <xf numFmtId="0" fontId="0" fillId="0" borderId="0" xfId="0" applyAlignment="1">
      <alignment horizontal="center" vertical="center"/>
    </xf>
    <xf numFmtId="0" fontId="3" fillId="12" borderId="24" xfId="0" applyFont="1" applyFill="1" applyBorder="1" applyAlignment="1">
      <alignment horizontal="center" vertical="center" wrapText="1"/>
    </xf>
    <xf numFmtId="0" fontId="3" fillId="12" borderId="66"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4" xfId="0" applyFont="1" applyBorder="1" applyAlignment="1">
      <alignment horizontal="center" vertical="center" wrapText="1"/>
    </xf>
    <xf numFmtId="0" fontId="14" fillId="9" borderId="54" xfId="0" applyFont="1" applyFill="1" applyBorder="1" applyAlignment="1">
      <alignment horizontal="center" vertical="center" wrapText="1"/>
    </xf>
    <xf numFmtId="0" fontId="14" fillId="13" borderId="54" xfId="0" applyFont="1" applyFill="1" applyBorder="1" applyAlignment="1">
      <alignment horizontal="center" vertical="center"/>
    </xf>
    <xf numFmtId="9" fontId="14" fillId="13" borderId="54" xfId="0" applyNumberFormat="1" applyFont="1" applyFill="1" applyBorder="1" applyAlignment="1">
      <alignment horizontal="center" vertical="center"/>
    </xf>
    <xf numFmtId="9" fontId="14" fillId="0" borderId="62" xfId="0" applyNumberFormat="1" applyFont="1" applyBorder="1" applyAlignment="1">
      <alignment horizontal="center" vertical="center" wrapText="1"/>
    </xf>
    <xf numFmtId="9" fontId="14" fillId="0" borderId="62" xfId="1" applyNumberFormat="1" applyFont="1" applyBorder="1" applyAlignment="1">
      <alignment horizontal="center" vertical="center" wrapText="1"/>
    </xf>
    <xf numFmtId="9" fontId="14" fillId="13" borderId="62" xfId="0" applyNumberFormat="1" applyFont="1" applyFill="1" applyBorder="1" applyAlignment="1">
      <alignment horizontal="center" vertical="center"/>
    </xf>
    <xf numFmtId="0" fontId="22" fillId="13" borderId="62" xfId="0" applyFont="1" applyFill="1" applyBorder="1" applyAlignment="1">
      <alignment horizontal="center" vertical="center" textRotation="90"/>
    </xf>
    <xf numFmtId="0" fontId="8" fillId="0" borderId="38" xfId="0" applyFont="1" applyBorder="1" applyAlignment="1">
      <alignment horizontal="left"/>
    </xf>
    <xf numFmtId="0" fontId="8" fillId="0" borderId="21" xfId="0" applyFont="1" applyBorder="1" applyAlignment="1">
      <alignment horizontal="center" vertical="center"/>
    </xf>
    <xf numFmtId="0" fontId="16" fillId="0" borderId="1" xfId="0" applyFont="1" applyBorder="1" applyAlignment="1">
      <alignment horizontal="justify" vertical="center" wrapText="1"/>
    </xf>
    <xf numFmtId="0" fontId="8" fillId="13" borderId="54" xfId="0" applyFont="1" applyFill="1" applyBorder="1" applyAlignment="1">
      <alignment horizontal="center" vertical="center"/>
    </xf>
    <xf numFmtId="0" fontId="8" fillId="0" borderId="54" xfId="0" applyFont="1" applyBorder="1" applyAlignment="1">
      <alignment horizontal="center" vertical="center" textRotation="90"/>
    </xf>
    <xf numFmtId="9" fontId="16" fillId="13" borderId="54" xfId="0" applyNumberFormat="1" applyFont="1" applyFill="1" applyBorder="1" applyAlignment="1">
      <alignment horizontal="center" vertical="center"/>
    </xf>
    <xf numFmtId="0" fontId="8" fillId="0" borderId="1" xfId="0" applyFont="1" applyBorder="1" applyAlignment="1">
      <alignment horizontal="center" vertical="center" textRotation="90" wrapText="1"/>
    </xf>
    <xf numFmtId="9" fontId="8" fillId="13" borderId="54" xfId="0" applyNumberFormat="1" applyFont="1" applyFill="1" applyBorder="1" applyAlignment="1">
      <alignment horizontal="center" vertical="center"/>
    </xf>
    <xf numFmtId="0" fontId="8" fillId="13" borderId="54" xfId="0" applyFont="1" applyFill="1" applyBorder="1" applyAlignment="1">
      <alignment horizontal="center" vertical="center" textRotation="90"/>
    </xf>
    <xf numFmtId="164" fontId="8" fillId="13" borderId="54" xfId="0" applyNumberFormat="1" applyFont="1" applyFill="1" applyBorder="1" applyAlignment="1">
      <alignment horizontal="center" vertical="center"/>
    </xf>
    <xf numFmtId="0" fontId="14" fillId="13" borderId="54" xfId="0" applyFont="1" applyFill="1" applyBorder="1" applyAlignment="1">
      <alignment horizontal="center" vertical="center" textRotation="90"/>
    </xf>
    <xf numFmtId="9" fontId="8" fillId="13" borderId="54" xfId="0" applyNumberFormat="1" applyFont="1" applyFill="1" applyBorder="1" applyAlignment="1">
      <alignment horizontal="center" vertical="center" textRotation="90"/>
    </xf>
    <xf numFmtId="0" fontId="8" fillId="13" borderId="54" xfId="0" applyFont="1" applyFill="1" applyBorder="1" applyAlignment="1">
      <alignment vertical="center" textRotation="90"/>
    </xf>
    <xf numFmtId="0" fontId="6" fillId="0" borderId="55" xfId="0" applyFont="1" applyBorder="1" applyAlignment="1">
      <alignment horizontal="center" vertical="center" textRotation="90"/>
    </xf>
    <xf numFmtId="0" fontId="8" fillId="0" borderId="21" xfId="0" applyFont="1" applyBorder="1" applyAlignment="1">
      <alignment horizontal="justify" vertical="center" wrapText="1"/>
    </xf>
    <xf numFmtId="0" fontId="8" fillId="0" borderId="62" xfId="0" applyFont="1" applyBorder="1" applyAlignment="1">
      <alignment horizontal="center" vertical="center" wrapText="1"/>
    </xf>
    <xf numFmtId="14" fontId="8" fillId="0" borderId="1" xfId="0" applyNumberFormat="1" applyFont="1" applyBorder="1" applyAlignment="1">
      <alignment horizontal="justify" vertical="center" wrapText="1"/>
    </xf>
    <xf numFmtId="14" fontId="17" fillId="0" borderId="24" xfId="0" applyNumberFormat="1" applyFont="1" applyBorder="1" applyAlignment="1">
      <alignment horizontal="center" vertical="center"/>
    </xf>
    <xf numFmtId="0" fontId="17" fillId="0" borderId="2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7" xfId="0" applyFont="1" applyBorder="1" applyAlignment="1">
      <alignment horizontal="center" vertical="center"/>
    </xf>
    <xf numFmtId="0" fontId="3" fillId="0" borderId="68" xfId="0" applyFont="1" applyBorder="1" applyAlignment="1" applyProtection="1">
      <alignment horizontal="left" vertical="center" wrapText="1"/>
      <protection locked="0"/>
    </xf>
    <xf numFmtId="0" fontId="17" fillId="0" borderId="67" xfId="0" applyFont="1" applyBorder="1" applyAlignment="1">
      <alignment horizontal="center" vertical="center" wrapText="1"/>
    </xf>
    <xf numFmtId="0" fontId="23" fillId="0" borderId="0" xfId="0" applyFont="1"/>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pplyAlignment="1">
      <alignment horizontal="center" vertical="center" wrapText="1"/>
    </xf>
    <xf numFmtId="0" fontId="14" fillId="9" borderId="10" xfId="0" applyFont="1" applyFill="1" applyBorder="1" applyAlignment="1">
      <alignment horizontal="center" vertical="center" wrapText="1"/>
    </xf>
    <xf numFmtId="0" fontId="14" fillId="13" borderId="10" xfId="0" applyFont="1" applyFill="1" applyBorder="1" applyAlignment="1">
      <alignment horizontal="center" vertical="center"/>
    </xf>
    <xf numFmtId="9" fontId="14" fillId="13" borderId="10" xfId="0" applyNumberFormat="1" applyFont="1" applyFill="1" applyBorder="1" applyAlignment="1">
      <alignment horizontal="center" vertical="center"/>
    </xf>
    <xf numFmtId="9" fontId="14" fillId="0" borderId="10" xfId="0" applyNumberFormat="1" applyFont="1" applyBorder="1" applyAlignment="1">
      <alignment horizontal="center" vertical="center" wrapText="1"/>
    </xf>
    <xf numFmtId="9" fontId="14" fillId="0" borderId="10" xfId="1" applyNumberFormat="1" applyFont="1" applyBorder="1" applyAlignment="1">
      <alignment horizontal="center" vertical="center" wrapText="1"/>
    </xf>
    <xf numFmtId="0" fontId="22" fillId="13" borderId="10" xfId="0" applyFont="1" applyFill="1" applyBorder="1" applyAlignment="1">
      <alignment horizontal="center" vertical="center" textRotation="90"/>
    </xf>
    <xf numFmtId="0" fontId="8" fillId="0" borderId="43" xfId="0" applyFont="1" applyBorder="1" applyAlignment="1">
      <alignment horizontal="center" vertical="center" wrapText="1"/>
    </xf>
    <xf numFmtId="0" fontId="8" fillId="0" borderId="44" xfId="0" applyFont="1" applyBorder="1" applyAlignment="1">
      <alignment horizontal="justify" vertical="center" wrapText="1"/>
    </xf>
    <xf numFmtId="0" fontId="8" fillId="13" borderId="44" xfId="0" applyFont="1" applyFill="1" applyBorder="1" applyAlignment="1">
      <alignment horizontal="center" vertical="center" wrapText="1"/>
    </xf>
    <xf numFmtId="0" fontId="8" fillId="0" borderId="44" xfId="0" applyFont="1" applyBorder="1" applyAlignment="1">
      <alignment horizontal="center" vertical="center" textRotation="90" wrapText="1"/>
    </xf>
    <xf numFmtId="9" fontId="16" fillId="13" borderId="44" xfId="0" applyNumberFormat="1" applyFont="1" applyFill="1" applyBorder="1" applyAlignment="1">
      <alignment horizontal="center" vertical="center" wrapText="1"/>
    </xf>
    <xf numFmtId="9" fontId="8" fillId="13" borderId="44" xfId="0" applyNumberFormat="1" applyFont="1" applyFill="1" applyBorder="1" applyAlignment="1">
      <alignment horizontal="center" vertical="center" wrapText="1"/>
    </xf>
    <xf numFmtId="0" fontId="8" fillId="13" borderId="44" xfId="0" applyFont="1" applyFill="1" applyBorder="1" applyAlignment="1">
      <alignment horizontal="center" vertical="center" textRotation="90" wrapText="1"/>
    </xf>
    <xf numFmtId="164" fontId="8" fillId="13" borderId="44" xfId="0" applyNumberFormat="1" applyFont="1" applyFill="1" applyBorder="1" applyAlignment="1">
      <alignment horizontal="center" vertical="center" wrapText="1"/>
    </xf>
    <xf numFmtId="0" fontId="14" fillId="13" borderId="44" xfId="0" applyFont="1" applyFill="1" applyBorder="1" applyAlignment="1">
      <alignment horizontal="center" vertical="center" textRotation="90" wrapText="1"/>
    </xf>
    <xf numFmtId="9" fontId="8" fillId="13" borderId="44" xfId="0" applyNumberFormat="1" applyFont="1" applyFill="1" applyBorder="1" applyAlignment="1">
      <alignment horizontal="center" vertical="center" textRotation="90" wrapText="1"/>
    </xf>
    <xf numFmtId="0" fontId="8" fillId="13" borderId="44" xfId="0" applyFont="1" applyFill="1" applyBorder="1" applyAlignment="1">
      <alignment vertical="center" textRotation="90" wrapText="1"/>
    </xf>
    <xf numFmtId="0" fontId="6" fillId="0" borderId="46" xfId="0" applyFont="1" applyBorder="1" applyAlignment="1">
      <alignment horizontal="center" vertical="center" textRotation="90"/>
    </xf>
    <xf numFmtId="0" fontId="8" fillId="0" borderId="24" xfId="0" applyFont="1" applyBorder="1" applyAlignment="1">
      <alignment horizontal="justify" vertical="center" wrapText="1"/>
    </xf>
    <xf numFmtId="0" fontId="8" fillId="0" borderId="10" xfId="0" applyFont="1" applyBorder="1" applyAlignment="1">
      <alignment horizontal="center" vertical="center" wrapText="1"/>
    </xf>
    <xf numFmtId="14" fontId="8" fillId="0" borderId="8" xfId="0" applyNumberFormat="1" applyFont="1" applyBorder="1" applyAlignment="1">
      <alignment horizontal="justify" vertical="center" wrapText="1"/>
    </xf>
    <xf numFmtId="14" fontId="17" fillId="0" borderId="23" xfId="0" applyNumberFormat="1" applyFont="1" applyBorder="1" applyAlignment="1">
      <alignment horizontal="center" vertical="center"/>
    </xf>
    <xf numFmtId="0" fontId="17" fillId="0" borderId="2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9" xfId="0" applyFont="1" applyBorder="1" applyAlignment="1">
      <alignment horizontal="center" vertical="center"/>
    </xf>
    <xf numFmtId="0" fontId="3" fillId="0" borderId="70" xfId="0" applyFont="1" applyBorder="1" applyAlignment="1" applyProtection="1">
      <alignment horizontal="left" vertical="center" wrapText="1"/>
      <protection locked="0"/>
    </xf>
    <xf numFmtId="0" fontId="17" fillId="0" borderId="71" xfId="0" applyFont="1" applyBorder="1" applyAlignment="1">
      <alignment horizontal="center" vertical="center" wrapText="1"/>
    </xf>
    <xf numFmtId="0" fontId="16" fillId="0" borderId="44" xfId="0" applyFont="1" applyBorder="1" applyAlignment="1">
      <alignment horizontal="justify" vertical="center" wrapText="1"/>
    </xf>
    <xf numFmtId="0" fontId="16" fillId="0" borderId="44" xfId="0" applyFont="1" applyBorder="1" applyAlignment="1">
      <alignment horizontal="center" vertical="center" textRotation="90" wrapText="1"/>
    </xf>
    <xf numFmtId="0" fontId="17" fillId="0" borderId="71" xfId="0" applyFont="1" applyBorder="1" applyAlignment="1">
      <alignment horizontal="center" vertical="center" wrapText="1"/>
    </xf>
    <xf numFmtId="0" fontId="8" fillId="0" borderId="48" xfId="0" applyFont="1" applyBorder="1" applyAlignment="1">
      <alignment horizontal="center" vertical="center" textRotation="90"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4" xfId="0" applyFont="1" applyBorder="1" applyAlignment="1">
      <alignment horizontal="center" vertical="center" wrapText="1"/>
    </xf>
    <xf numFmtId="0" fontId="14" fillId="0" borderId="8" xfId="0" applyFont="1" applyBorder="1" applyAlignment="1">
      <alignment horizontal="center" vertical="center" wrapText="1"/>
    </xf>
    <xf numFmtId="0" fontId="14" fillId="9" borderId="44" xfId="0" applyFont="1" applyFill="1" applyBorder="1" applyAlignment="1">
      <alignment horizontal="center" vertical="center" wrapText="1"/>
    </xf>
    <xf numFmtId="0" fontId="14" fillId="13" borderId="44" xfId="0" applyFont="1" applyFill="1" applyBorder="1" applyAlignment="1">
      <alignment horizontal="center" vertical="center"/>
    </xf>
    <xf numFmtId="9" fontId="14" fillId="13" borderId="44" xfId="0" applyNumberFormat="1" applyFont="1" applyFill="1" applyBorder="1" applyAlignment="1">
      <alignment horizontal="center" vertical="center"/>
    </xf>
    <xf numFmtId="9" fontId="14" fillId="0" borderId="48" xfId="0" applyNumberFormat="1" applyFont="1" applyBorder="1" applyAlignment="1">
      <alignment horizontal="center" vertical="center" wrapText="1"/>
    </xf>
    <xf numFmtId="41" fontId="14" fillId="0" borderId="48" xfId="1" applyFont="1" applyBorder="1" applyAlignment="1">
      <alignment horizontal="center" vertical="center" wrapText="1"/>
    </xf>
    <xf numFmtId="9" fontId="14" fillId="13" borderId="48" xfId="0" applyNumberFormat="1" applyFont="1" applyFill="1" applyBorder="1" applyAlignment="1">
      <alignment horizontal="center" vertical="center"/>
    </xf>
    <xf numFmtId="0" fontId="22" fillId="13" borderId="48" xfId="0" applyFont="1" applyFill="1" applyBorder="1" applyAlignment="1">
      <alignment horizontal="center" vertical="center" textRotation="90"/>
    </xf>
    <xf numFmtId="0" fontId="8" fillId="0" borderId="40" xfId="0" applyFont="1" applyBorder="1" applyAlignment="1">
      <alignment horizontal="left" wrapText="1"/>
    </xf>
    <xf numFmtId="0" fontId="6" fillId="0" borderId="45" xfId="0" applyFont="1" applyBorder="1" applyAlignment="1">
      <alignment horizontal="center" vertical="center" textRotation="90"/>
    </xf>
    <xf numFmtId="0" fontId="8" fillId="0" borderId="43"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4" xfId="0" applyFont="1" applyBorder="1" applyAlignment="1">
      <alignment horizontal="justify" vertical="center" wrapText="1"/>
    </xf>
    <xf numFmtId="0" fontId="17" fillId="0" borderId="72" xfId="0" applyFont="1" applyBorder="1" applyAlignment="1">
      <alignment horizontal="center" vertical="center"/>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xf>
    <xf numFmtId="0" fontId="3" fillId="0" borderId="0" xfId="0" applyFont="1" applyAlignment="1">
      <alignment wrapText="1"/>
    </xf>
    <xf numFmtId="0" fontId="3" fillId="0" borderId="75" xfId="0" applyFont="1" applyBorder="1" applyAlignment="1" applyProtection="1">
      <alignment horizontal="left" vertical="center" wrapText="1"/>
      <protection locked="0"/>
    </xf>
    <xf numFmtId="0" fontId="23" fillId="0" borderId="0" xfId="0" applyFont="1" applyAlignment="1">
      <alignment wrapText="1"/>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77" xfId="0" applyFont="1" applyBorder="1" applyAlignment="1">
      <alignment horizontal="center" vertical="center" wrapText="1"/>
    </xf>
    <xf numFmtId="0" fontId="14" fillId="9" borderId="71" xfId="0" applyFont="1" applyFill="1" applyBorder="1" applyAlignment="1">
      <alignment horizontal="center" vertical="center" wrapText="1"/>
    </xf>
    <xf numFmtId="0" fontId="14" fillId="13" borderId="11" xfId="0" applyFont="1" applyFill="1" applyBorder="1" applyAlignment="1">
      <alignment horizontal="center" vertical="center"/>
    </xf>
    <xf numFmtId="9" fontId="14" fillId="13" borderId="11" xfId="0" applyNumberFormat="1" applyFont="1" applyFill="1" applyBorder="1" applyAlignment="1">
      <alignment horizontal="center" vertical="center"/>
    </xf>
    <xf numFmtId="41" fontId="14" fillId="0" borderId="10" xfId="1" applyFont="1" applyBorder="1" applyAlignment="1">
      <alignment horizontal="center" vertical="center" wrapText="1"/>
    </xf>
    <xf numFmtId="0" fontId="8" fillId="0" borderId="22" xfId="0" applyFont="1" applyBorder="1" applyAlignment="1">
      <alignment horizontal="center" vertical="center"/>
    </xf>
    <xf numFmtId="0" fontId="8" fillId="13" borderId="11" xfId="0" applyFont="1" applyFill="1" applyBorder="1" applyAlignment="1">
      <alignment horizontal="center" vertical="center"/>
    </xf>
    <xf numFmtId="0" fontId="8" fillId="0" borderId="11" xfId="0" applyFont="1" applyBorder="1" applyAlignment="1">
      <alignment horizontal="center" vertical="center" textRotation="90"/>
    </xf>
    <xf numFmtId="9" fontId="16" fillId="13" borderId="11" xfId="0" applyNumberFormat="1" applyFont="1" applyFill="1" applyBorder="1" applyAlignment="1">
      <alignment horizontal="center" vertical="center"/>
    </xf>
    <xf numFmtId="9" fontId="8" fillId="13" borderId="11" xfId="0" applyNumberFormat="1" applyFont="1" applyFill="1" applyBorder="1" applyAlignment="1">
      <alignment horizontal="center" vertical="center"/>
    </xf>
    <xf numFmtId="0" fontId="8" fillId="13" borderId="11" xfId="0" applyFont="1" applyFill="1" applyBorder="1" applyAlignment="1">
      <alignment horizontal="center" vertical="center" textRotation="90"/>
    </xf>
    <xf numFmtId="164" fontId="8" fillId="13" borderId="11" xfId="0" applyNumberFormat="1" applyFont="1" applyFill="1" applyBorder="1" applyAlignment="1">
      <alignment horizontal="center" vertical="center"/>
    </xf>
    <xf numFmtId="0" fontId="14" fillId="13" borderId="11" xfId="0" applyFont="1" applyFill="1" applyBorder="1" applyAlignment="1">
      <alignment horizontal="center" vertical="center" textRotation="90"/>
    </xf>
    <xf numFmtId="9" fontId="8" fillId="13" borderId="11" xfId="0" applyNumberFormat="1" applyFont="1" applyFill="1" applyBorder="1" applyAlignment="1">
      <alignment horizontal="center" vertical="center" textRotation="90"/>
    </xf>
    <xf numFmtId="0" fontId="8" fillId="13" borderId="11" xfId="0" applyFont="1" applyFill="1" applyBorder="1" applyAlignment="1">
      <alignment vertical="center" textRotation="90"/>
    </xf>
    <xf numFmtId="0" fontId="6" fillId="0" borderId="26" xfId="0" applyFont="1" applyBorder="1" applyAlignment="1">
      <alignment horizontal="center" vertical="center" textRotation="90"/>
    </xf>
    <xf numFmtId="0" fontId="8" fillId="0" borderId="1" xfId="0" applyFont="1" applyBorder="1" applyAlignment="1">
      <alignment horizontal="justify" vertical="center" wrapText="1"/>
    </xf>
    <xf numFmtId="14" fontId="17" fillId="0" borderId="56" xfId="0" applyNumberFormat="1" applyFont="1" applyBorder="1" applyAlignment="1">
      <alignment horizontal="center" vertical="center"/>
    </xf>
    <xf numFmtId="0" fontId="18" fillId="0" borderId="78"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1" xfId="0" applyFont="1" applyBorder="1" applyAlignment="1">
      <alignment horizontal="center" vertical="center"/>
    </xf>
    <xf numFmtId="0" fontId="25" fillId="0" borderId="56" xfId="0" applyFont="1" applyBorder="1" applyAlignment="1" applyProtection="1">
      <alignment horizontal="left" vertical="center" wrapText="1"/>
      <protection locked="0"/>
    </xf>
    <xf numFmtId="0" fontId="17" fillId="0" borderId="11" xfId="0" applyFont="1" applyBorder="1" applyAlignment="1">
      <alignment horizontal="center" vertical="center" wrapText="1"/>
    </xf>
    <xf numFmtId="0" fontId="14" fillId="0" borderId="82" xfId="0" applyFont="1" applyBorder="1" applyAlignment="1">
      <alignment horizontal="center" vertical="center" wrapText="1"/>
    </xf>
    <xf numFmtId="9" fontId="8" fillId="13" borderId="1" xfId="0" applyNumberFormat="1" applyFont="1" applyFill="1" applyBorder="1" applyAlignment="1">
      <alignment horizontal="center" vertical="center"/>
    </xf>
    <xf numFmtId="0" fontId="8" fillId="13" borderId="1" xfId="0" applyFont="1" applyFill="1" applyBorder="1" applyAlignment="1">
      <alignment horizontal="center" vertical="center" textRotation="90"/>
    </xf>
    <xf numFmtId="0" fontId="14" fillId="13" borderId="1" xfId="0" applyFont="1" applyFill="1" applyBorder="1" applyAlignment="1">
      <alignment horizontal="center" vertical="center" textRotation="90"/>
    </xf>
    <xf numFmtId="9" fontId="8" fillId="13" borderId="1" xfId="0" applyNumberFormat="1" applyFont="1" applyFill="1" applyBorder="1" applyAlignment="1">
      <alignment horizontal="center" vertical="center" textRotation="90"/>
    </xf>
    <xf numFmtId="0" fontId="8" fillId="13" borderId="1" xfId="0" applyFont="1" applyFill="1" applyBorder="1" applyAlignment="1">
      <alignment vertical="center" textRotation="90"/>
    </xf>
    <xf numFmtId="0" fontId="8" fillId="0" borderId="8" xfId="0" applyFont="1" applyBorder="1" applyAlignment="1">
      <alignment horizontal="justify" vertical="center" wrapText="1"/>
    </xf>
    <xf numFmtId="0" fontId="17" fillId="0" borderId="7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23" xfId="0" applyFont="1" applyBorder="1" applyAlignment="1">
      <alignment horizontal="center" vertical="center"/>
    </xf>
    <xf numFmtId="0" fontId="3" fillId="0" borderId="56" xfId="0" applyFont="1" applyBorder="1" applyAlignment="1" applyProtection="1">
      <alignment horizontal="left" vertical="center" wrapText="1"/>
      <protection locked="0"/>
    </xf>
    <xf numFmtId="0" fontId="14" fillId="0" borderId="2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3" xfId="0" applyFont="1" applyBorder="1" applyAlignment="1">
      <alignment horizontal="center" vertical="center" wrapText="1"/>
    </xf>
    <xf numFmtId="0" fontId="14" fillId="9" borderId="5" xfId="0" applyFont="1" applyFill="1" applyBorder="1" applyAlignment="1">
      <alignment horizontal="center" vertical="center" wrapText="1"/>
    </xf>
    <xf numFmtId="0" fontId="14" fillId="13" borderId="1" xfId="0" applyFont="1" applyFill="1" applyBorder="1" applyAlignment="1">
      <alignment horizontal="center" vertical="center"/>
    </xf>
    <xf numFmtId="9" fontId="14" fillId="13" borderId="1" xfId="0" applyNumberFormat="1" applyFont="1" applyFill="1" applyBorder="1" applyAlignment="1">
      <alignment horizontal="center" vertical="center"/>
    </xf>
    <xf numFmtId="0" fontId="16" fillId="0" borderId="8" xfId="0" applyFont="1" applyBorder="1" applyAlignment="1">
      <alignment horizontal="justify" vertical="center" wrapText="1"/>
    </xf>
    <xf numFmtId="0" fontId="8" fillId="13" borderId="1" xfId="0" applyFont="1" applyFill="1" applyBorder="1" applyAlignment="1">
      <alignment horizontal="center" vertical="center"/>
    </xf>
    <xf numFmtId="0" fontId="8" fillId="0" borderId="1" xfId="0" applyFont="1" applyBorder="1" applyAlignment="1">
      <alignment horizontal="center" vertical="center" textRotation="90"/>
    </xf>
    <xf numFmtId="9" fontId="16" fillId="13" borderId="1" xfId="0" applyNumberFormat="1" applyFont="1" applyFill="1" applyBorder="1" applyAlignment="1">
      <alignment horizontal="center" vertical="center"/>
    </xf>
    <xf numFmtId="0" fontId="8" fillId="0" borderId="10" xfId="0" applyFont="1" applyBorder="1" applyAlignment="1">
      <alignment horizontal="center" vertical="center" textRotation="90" wrapText="1"/>
    </xf>
    <xf numFmtId="0" fontId="16" fillId="0" borderId="10" xfId="0" applyFont="1" applyBorder="1" applyAlignment="1">
      <alignment horizontal="center" vertical="center" textRotation="90" wrapText="1"/>
    </xf>
    <xf numFmtId="164" fontId="8" fillId="13" borderId="1" xfId="0" applyNumberFormat="1" applyFont="1" applyFill="1" applyBorder="1" applyAlignment="1">
      <alignment horizontal="center" vertical="center"/>
    </xf>
    <xf numFmtId="0" fontId="6" fillId="0" borderId="20" xfId="0" applyFont="1" applyBorder="1" applyAlignment="1">
      <alignment horizontal="center" vertical="center" textRotation="90"/>
    </xf>
    <xf numFmtId="0" fontId="17" fillId="0" borderId="56" xfId="0" applyFont="1" applyBorder="1" applyAlignment="1">
      <alignment horizontal="center" vertical="center"/>
    </xf>
    <xf numFmtId="0" fontId="14" fillId="0" borderId="84" xfId="0" applyFont="1" applyBorder="1" applyAlignment="1">
      <alignment horizontal="center" vertical="center" wrapText="1"/>
    </xf>
    <xf numFmtId="0" fontId="14" fillId="0" borderId="85" xfId="0" applyFont="1" applyBorder="1" applyAlignment="1">
      <alignment horizontal="center" vertical="center" wrapText="1"/>
    </xf>
    <xf numFmtId="0" fontId="14" fillId="9" borderId="86" xfId="0" applyFont="1" applyFill="1" applyBorder="1" applyAlignment="1">
      <alignment horizontal="center" vertical="center" wrapText="1"/>
    </xf>
    <xf numFmtId="0" fontId="8" fillId="0" borderId="43" xfId="0" applyFont="1" applyBorder="1" applyAlignment="1">
      <alignment horizontal="center" vertical="center"/>
    </xf>
    <xf numFmtId="0" fontId="8" fillId="13" borderId="44" xfId="0" applyFont="1" applyFill="1" applyBorder="1" applyAlignment="1">
      <alignment horizontal="center" vertical="center"/>
    </xf>
    <xf numFmtId="0" fontId="8" fillId="0" borderId="44" xfId="0" applyFont="1" applyBorder="1" applyAlignment="1">
      <alignment horizontal="center" vertical="center" textRotation="90"/>
    </xf>
    <xf numFmtId="9" fontId="16" fillId="13" borderId="44" xfId="0" applyNumberFormat="1" applyFont="1" applyFill="1" applyBorder="1" applyAlignment="1">
      <alignment horizontal="center" vertical="center"/>
    </xf>
    <xf numFmtId="9" fontId="8" fillId="13" borderId="44" xfId="0" applyNumberFormat="1" applyFont="1" applyFill="1" applyBorder="1" applyAlignment="1">
      <alignment horizontal="center" vertical="center"/>
    </xf>
    <xf numFmtId="164" fontId="8" fillId="13" borderId="44" xfId="0" applyNumberFormat="1" applyFont="1" applyFill="1" applyBorder="1" applyAlignment="1">
      <alignment horizontal="center" vertical="center"/>
    </xf>
    <xf numFmtId="0" fontId="14" fillId="13" borderId="44" xfId="0" applyFont="1" applyFill="1" applyBorder="1" applyAlignment="1">
      <alignment horizontal="center" vertical="center" textRotation="90"/>
    </xf>
    <xf numFmtId="9" fontId="8" fillId="13" borderId="44" xfId="0" applyNumberFormat="1" applyFont="1" applyFill="1" applyBorder="1" applyAlignment="1">
      <alignment horizontal="center" vertical="center" textRotation="90"/>
    </xf>
    <xf numFmtId="0" fontId="8" fillId="13" borderId="44" xfId="0" applyFont="1" applyFill="1" applyBorder="1" applyAlignment="1">
      <alignment vertical="center" textRotation="90"/>
    </xf>
    <xf numFmtId="0" fontId="17" fillId="0" borderId="87" xfId="0" applyFont="1" applyBorder="1" applyAlignment="1">
      <alignment horizontal="center" vertical="center"/>
    </xf>
    <xf numFmtId="0" fontId="17" fillId="0" borderId="88"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0" xfId="0" applyFont="1" applyBorder="1" applyAlignment="1">
      <alignment horizontal="center" vertical="center"/>
    </xf>
    <xf numFmtId="0" fontId="3" fillId="0" borderId="41" xfId="0" applyFont="1" applyBorder="1" applyAlignment="1" applyProtection="1">
      <alignment horizontal="left" vertical="center" wrapText="1"/>
      <protection locked="0"/>
    </xf>
    <xf numFmtId="41" fontId="14" fillId="0" borderId="62" xfId="1" applyFont="1" applyBorder="1" applyAlignment="1">
      <alignment horizontal="center" vertical="center" wrapText="1"/>
    </xf>
    <xf numFmtId="0" fontId="16" fillId="13" borderId="54" xfId="0" applyFont="1" applyFill="1" applyBorder="1" applyAlignment="1">
      <alignment horizontal="center" vertical="center"/>
    </xf>
    <xf numFmtId="0" fontId="16" fillId="0" borderId="54" xfId="0" applyFont="1" applyBorder="1" applyAlignment="1">
      <alignment horizontal="center" vertical="center" textRotation="90"/>
    </xf>
    <xf numFmtId="0" fontId="16" fillId="0" borderId="1" xfId="0" applyFont="1" applyBorder="1" applyAlignment="1">
      <alignment horizontal="center" vertical="center" textRotation="90" wrapText="1"/>
    </xf>
    <xf numFmtId="0" fontId="16" fillId="0" borderId="1" xfId="0" applyFont="1" applyBorder="1" applyAlignment="1">
      <alignment horizontal="center" vertical="center" textRotation="90"/>
    </xf>
    <xf numFmtId="0" fontId="10" fillId="0" borderId="55" xfId="0" applyFont="1" applyBorder="1" applyAlignment="1">
      <alignment horizontal="center" vertical="center" textRotation="90"/>
    </xf>
    <xf numFmtId="0" fontId="8" fillId="0" borderId="61" xfId="0" applyFont="1" applyBorder="1" applyAlignment="1">
      <alignment horizontal="center" vertical="center" wrapText="1"/>
    </xf>
    <xf numFmtId="14" fontId="8" fillId="0" borderId="63" xfId="0" applyNumberFormat="1" applyFont="1" applyBorder="1" applyAlignment="1">
      <alignment horizontal="center" vertical="center" wrapText="1"/>
    </xf>
    <xf numFmtId="14" fontId="17" fillId="0" borderId="91" xfId="0" applyNumberFormat="1" applyFont="1" applyBorder="1" applyAlignment="1">
      <alignment horizontal="center" vertical="center"/>
    </xf>
    <xf numFmtId="0" fontId="17" fillId="0" borderId="92" xfId="0" applyFont="1" applyBorder="1" applyAlignment="1">
      <alignment horizontal="center" vertical="center" wrapText="1"/>
    </xf>
    <xf numFmtId="0" fontId="8" fillId="0" borderId="91"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93" xfId="0" applyFont="1" applyBorder="1" applyAlignment="1">
      <alignment horizontal="center" vertical="center"/>
    </xf>
    <xf numFmtId="0" fontId="3" fillId="0" borderId="37" xfId="0" applyFont="1" applyBorder="1" applyAlignment="1" applyProtection="1">
      <alignment horizontal="left" vertical="center" wrapText="1"/>
      <protection locked="0"/>
    </xf>
    <xf numFmtId="0" fontId="16" fillId="13" borderId="44" xfId="0" applyFont="1" applyFill="1" applyBorder="1" applyAlignment="1">
      <alignment horizontal="center" vertical="center"/>
    </xf>
    <xf numFmtId="0" fontId="16" fillId="0" borderId="44" xfId="0" applyFont="1" applyBorder="1" applyAlignment="1">
      <alignment horizontal="center" vertical="center" textRotation="90"/>
    </xf>
    <xf numFmtId="0" fontId="8" fillId="13" borderId="44" xfId="0" applyFont="1" applyFill="1" applyBorder="1" applyAlignment="1">
      <alignment horizontal="center" vertical="center" textRotation="90"/>
    </xf>
    <xf numFmtId="0" fontId="10" fillId="0" borderId="45" xfId="0" applyFont="1" applyBorder="1" applyAlignment="1">
      <alignment horizontal="center" vertical="center" textRotation="90"/>
    </xf>
    <xf numFmtId="0" fontId="8" fillId="0" borderId="47" xfId="0" applyFont="1" applyBorder="1" applyAlignment="1">
      <alignment horizontal="center" vertical="center" wrapText="1"/>
    </xf>
    <xf numFmtId="14" fontId="8" fillId="0" borderId="52"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9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justify" vertical="center" wrapText="1"/>
    </xf>
    <xf numFmtId="0" fontId="8" fillId="0" borderId="53" xfId="0" applyFont="1" applyBorder="1" applyAlignment="1">
      <alignment horizontal="center" vertical="center"/>
    </xf>
    <xf numFmtId="0" fontId="8" fillId="0" borderId="54" xfId="0" applyFont="1" applyBorder="1" applyAlignment="1">
      <alignment horizontal="justify" vertical="center" wrapText="1"/>
    </xf>
    <xf numFmtId="0" fontId="8" fillId="0" borderId="54" xfId="0" applyFont="1" applyBorder="1" applyAlignment="1">
      <alignment horizontal="center" vertical="center" textRotation="90" wrapText="1"/>
    </xf>
    <xf numFmtId="0" fontId="8" fillId="0" borderId="55" xfId="0" applyFont="1" applyBorder="1" applyAlignment="1">
      <alignment horizontal="center" vertical="center" textRotation="90"/>
    </xf>
    <xf numFmtId="14" fontId="3" fillId="0" borderId="24" xfId="0" applyNumberFormat="1" applyFont="1" applyBorder="1" applyAlignment="1" applyProtection="1">
      <alignment horizontal="center" vertical="center"/>
      <protection locked="0"/>
    </xf>
    <xf numFmtId="0" fontId="3" fillId="0" borderId="24"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protection locked="0"/>
    </xf>
    <xf numFmtId="0" fontId="3" fillId="0" borderId="21"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4" fillId="9" borderId="1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20" xfId="0" applyFont="1" applyBorder="1" applyAlignment="1">
      <alignment horizontal="center" vertical="center" textRotation="90"/>
    </xf>
    <xf numFmtId="0" fontId="8" fillId="0" borderId="23" xfId="0" applyFont="1" applyBorder="1" applyAlignment="1">
      <alignment horizontal="center" vertical="center" wrapText="1"/>
    </xf>
    <xf numFmtId="14" fontId="8" fillId="0" borderId="46" xfId="0" applyNumberFormat="1" applyFont="1" applyBorder="1" applyAlignment="1">
      <alignment horizontal="center" vertical="center" wrapText="1"/>
    </xf>
    <xf numFmtId="0" fontId="3" fillId="0" borderId="23" xfId="0"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4" fillId="9" borderId="1" xfId="0" applyFont="1" applyFill="1" applyBorder="1" applyAlignment="1">
      <alignment horizontal="center" vertical="center" wrapText="1"/>
    </xf>
    <xf numFmtId="0" fontId="8" fillId="0" borderId="40" xfId="0" applyFont="1" applyBorder="1" applyAlignment="1">
      <alignment horizontal="left"/>
    </xf>
    <xf numFmtId="0" fontId="8" fillId="0" borderId="45" xfId="0" applyFont="1" applyBorder="1" applyAlignment="1">
      <alignment horizontal="center" vertical="center" textRotation="90"/>
    </xf>
    <xf numFmtId="0" fontId="3" fillId="0" borderId="22"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0" fillId="0" borderId="0" xfId="0" applyFont="1"/>
    <xf numFmtId="9" fontId="14" fillId="0" borderId="54" xfId="0" applyNumberFormat="1" applyFont="1" applyBorder="1" applyAlignment="1">
      <alignment horizontal="center" vertical="center"/>
    </xf>
    <xf numFmtId="9" fontId="14" fillId="0" borderId="62" xfId="0" applyNumberFormat="1" applyFont="1" applyBorder="1" applyAlignment="1">
      <alignment horizontal="center" vertical="center"/>
    </xf>
    <xf numFmtId="0" fontId="22" fillId="9" borderId="62" xfId="0" applyFont="1" applyFill="1" applyBorder="1" applyAlignment="1">
      <alignment horizontal="center" vertical="center" textRotation="90"/>
    </xf>
    <xf numFmtId="0" fontId="16" fillId="0" borderId="54" xfId="0" applyFont="1" applyBorder="1" applyAlignment="1">
      <alignment horizontal="justify" vertical="center" wrapText="1"/>
    </xf>
    <xf numFmtId="0" fontId="8" fillId="14" borderId="54" xfId="0" applyFont="1" applyFill="1" applyBorder="1" applyAlignment="1">
      <alignment horizontal="center" vertical="center"/>
    </xf>
    <xf numFmtId="9" fontId="16" fillId="14" borderId="54" xfId="0" applyNumberFormat="1" applyFont="1" applyFill="1" applyBorder="1" applyAlignment="1">
      <alignment horizontal="center" vertical="center"/>
    </xf>
    <xf numFmtId="0" fontId="16" fillId="0" borderId="54" xfId="0" applyFont="1" applyBorder="1" applyAlignment="1">
      <alignment horizontal="center" vertical="center" textRotation="90" wrapText="1"/>
    </xf>
    <xf numFmtId="9" fontId="8" fillId="0" borderId="54" xfId="0" applyNumberFormat="1" applyFont="1" applyBorder="1" applyAlignment="1">
      <alignment horizontal="center" vertical="center"/>
    </xf>
    <xf numFmtId="164" fontId="8" fillId="0" borderId="54" xfId="0" applyNumberFormat="1" applyFont="1" applyBorder="1" applyAlignment="1">
      <alignment horizontal="center" vertical="center"/>
    </xf>
    <xf numFmtId="0" fontId="14" fillId="0" borderId="54" xfId="0" applyFont="1" applyBorder="1" applyAlignment="1">
      <alignment horizontal="center" vertical="center" textRotation="90"/>
    </xf>
    <xf numFmtId="9" fontId="8" fillId="0" borderId="54" xfId="0" applyNumberFormat="1" applyFont="1" applyBorder="1" applyAlignment="1">
      <alignment horizontal="center" vertical="center" textRotation="90"/>
    </xf>
    <xf numFmtId="0" fontId="8" fillId="9" borderId="54" xfId="0" applyFont="1" applyFill="1" applyBorder="1" applyAlignment="1">
      <alignment vertical="center" textRotation="90"/>
    </xf>
    <xf numFmtId="0" fontId="26" fillId="0" borderId="24" xfId="0" applyFont="1" applyBorder="1" applyAlignment="1">
      <alignment vertical="center" wrapText="1"/>
    </xf>
    <xf numFmtId="0" fontId="3" fillId="0" borderId="24" xfId="0" applyFont="1" applyBorder="1" applyAlignment="1" applyProtection="1">
      <alignment horizontal="center"/>
      <protection locked="0"/>
    </xf>
    <xf numFmtId="0" fontId="3" fillId="0" borderId="95" xfId="0" applyFont="1" applyBorder="1" applyAlignment="1" applyProtection="1">
      <alignment horizontal="center" vertical="center" wrapText="1"/>
      <protection locked="0"/>
    </xf>
    <xf numFmtId="0" fontId="17" fillId="0" borderId="20" xfId="0" applyFont="1" applyBorder="1" applyAlignment="1">
      <alignment vertical="center" wrapText="1"/>
    </xf>
    <xf numFmtId="9" fontId="14" fillId="0" borderId="1"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22" fillId="9" borderId="10" xfId="0" applyFont="1" applyFill="1" applyBorder="1" applyAlignment="1">
      <alignment horizontal="center" vertical="center" textRotation="90"/>
    </xf>
    <xf numFmtId="0" fontId="27" fillId="0" borderId="1" xfId="0" applyFont="1" applyBorder="1" applyAlignment="1">
      <alignment horizontal="justify" vertical="center" wrapText="1"/>
    </xf>
    <xf numFmtId="0" fontId="27" fillId="15" borderId="1" xfId="0" applyFont="1" applyFill="1" applyBorder="1" applyAlignment="1">
      <alignment horizontal="center" vertical="center"/>
    </xf>
    <xf numFmtId="0" fontId="27" fillId="0" borderId="1" xfId="0" applyFont="1" applyBorder="1" applyAlignment="1">
      <alignment horizontal="center" vertical="center" textRotation="90"/>
    </xf>
    <xf numFmtId="9" fontId="16" fillId="15" borderId="1" xfId="0" applyNumberFormat="1" applyFont="1" applyFill="1" applyBorder="1" applyAlignment="1">
      <alignment horizontal="center" vertical="center"/>
    </xf>
    <xf numFmtId="0" fontId="27" fillId="0" borderId="1" xfId="0" applyFont="1" applyBorder="1" applyAlignment="1">
      <alignment horizontal="center" vertical="center" textRotation="90" wrapText="1"/>
    </xf>
    <xf numFmtId="9"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14" fillId="0" borderId="1" xfId="0" applyFont="1" applyBorder="1" applyAlignment="1">
      <alignment horizontal="center" vertical="center" textRotation="90"/>
    </xf>
    <xf numFmtId="9" fontId="8" fillId="0" borderId="1" xfId="0" applyNumberFormat="1" applyFont="1" applyBorder="1" applyAlignment="1">
      <alignment horizontal="center" vertical="center" textRotation="90"/>
    </xf>
    <xf numFmtId="0" fontId="8" fillId="0" borderId="1" xfId="0" applyFont="1" applyBorder="1" applyAlignment="1">
      <alignment vertical="center" textRotation="90"/>
    </xf>
    <xf numFmtId="0" fontId="26" fillId="0" borderId="23" xfId="0" applyFont="1" applyBorder="1" applyAlignment="1">
      <alignment vertical="center" wrapText="1"/>
    </xf>
    <xf numFmtId="0" fontId="3" fillId="0" borderId="23" xfId="0" applyFont="1" applyBorder="1" applyAlignment="1" applyProtection="1">
      <alignment horizontal="center"/>
      <protection locked="0"/>
    </xf>
    <xf numFmtId="0" fontId="3" fillId="0" borderId="56" xfId="0" applyFont="1" applyBorder="1" applyAlignment="1" applyProtection="1">
      <alignment horizontal="center" vertical="center" wrapText="1"/>
      <protection locked="0"/>
    </xf>
    <xf numFmtId="0" fontId="18" fillId="0" borderId="46" xfId="0" applyFont="1" applyBorder="1" applyAlignment="1">
      <alignment vertical="center" wrapText="1"/>
    </xf>
    <xf numFmtId="9" fontId="14" fillId="0" borderId="44" xfId="0" applyNumberFormat="1" applyFont="1" applyBorder="1" applyAlignment="1">
      <alignment horizontal="center" vertical="center"/>
    </xf>
    <xf numFmtId="9" fontId="14" fillId="0" borderId="48" xfId="0" applyNumberFormat="1" applyFont="1" applyBorder="1" applyAlignment="1">
      <alignment horizontal="center" vertical="center"/>
    </xf>
    <xf numFmtId="0" fontId="22" fillId="9" borderId="48" xfId="0" applyFont="1" applyFill="1" applyBorder="1" applyAlignment="1">
      <alignment horizontal="center" vertical="center" textRotation="90"/>
    </xf>
    <xf numFmtId="0" fontId="8" fillId="14" borderId="44" xfId="0" applyFont="1" applyFill="1" applyBorder="1" applyAlignment="1">
      <alignment horizontal="center" vertical="center"/>
    </xf>
    <xf numFmtId="9" fontId="16" fillId="14" borderId="44" xfId="0" applyNumberFormat="1" applyFont="1" applyFill="1" applyBorder="1" applyAlignment="1">
      <alignment horizontal="center" vertical="center"/>
    </xf>
    <xf numFmtId="9" fontId="8" fillId="0" borderId="44" xfId="0" applyNumberFormat="1" applyFont="1" applyBorder="1" applyAlignment="1">
      <alignment horizontal="center" vertical="center"/>
    </xf>
    <xf numFmtId="164" fontId="8" fillId="0" borderId="44" xfId="0" applyNumberFormat="1" applyFont="1" applyBorder="1" applyAlignment="1">
      <alignment horizontal="center" vertical="center"/>
    </xf>
    <xf numFmtId="0" fontId="14" fillId="0" borderId="44" xfId="0" applyFont="1" applyBorder="1" applyAlignment="1">
      <alignment horizontal="center" vertical="center" textRotation="90"/>
    </xf>
    <xf numFmtId="9" fontId="8" fillId="0" borderId="44" xfId="0" applyNumberFormat="1" applyFont="1" applyBorder="1" applyAlignment="1">
      <alignment horizontal="center" vertical="center" textRotation="90"/>
    </xf>
    <xf numFmtId="0" fontId="8" fillId="0" borderId="44" xfId="0" applyFont="1" applyBorder="1" applyAlignment="1">
      <alignment vertical="center" textRotation="90"/>
    </xf>
    <xf numFmtId="0" fontId="26" fillId="0" borderId="72" xfId="0" applyFont="1" applyBorder="1" applyAlignment="1">
      <alignment vertical="center" wrapText="1"/>
    </xf>
    <xf numFmtId="0" fontId="3" fillId="0" borderId="22" xfId="0" applyFont="1" applyBorder="1" applyAlignment="1" applyProtection="1">
      <alignment horizontal="center"/>
      <protection locked="0"/>
    </xf>
    <xf numFmtId="0" fontId="3" fillId="0" borderId="64" xfId="0" applyFont="1" applyBorder="1" applyAlignment="1" applyProtection="1">
      <alignment horizontal="center" vertical="center" wrapText="1"/>
      <protection locked="0"/>
    </xf>
    <xf numFmtId="0" fontId="17" fillId="0" borderId="78" xfId="0" applyFont="1" applyBorder="1" applyAlignment="1">
      <alignment vertical="center" wrapText="1"/>
    </xf>
    <xf numFmtId="9" fontId="14" fillId="0" borderId="11" xfId="0" applyNumberFormat="1" applyFont="1" applyBorder="1" applyAlignment="1">
      <alignment horizontal="center" vertical="center"/>
    </xf>
    <xf numFmtId="0" fontId="14" fillId="0" borderId="62" xfId="0" applyFont="1" applyBorder="1" applyAlignment="1">
      <alignment horizontal="center" vertical="center"/>
    </xf>
    <xf numFmtId="0" fontId="8" fillId="0" borderId="11" xfId="0" applyFont="1" applyBorder="1" applyAlignment="1">
      <alignment horizontal="justify" vertical="center" wrapText="1"/>
    </xf>
    <xf numFmtId="0" fontId="8" fillId="14" borderId="11" xfId="0" applyFont="1" applyFill="1" applyBorder="1" applyAlignment="1">
      <alignment horizontal="center" vertical="center"/>
    </xf>
    <xf numFmtId="9" fontId="16" fillId="14" borderId="11" xfId="0" applyNumberFormat="1" applyFont="1" applyFill="1" applyBorder="1" applyAlignment="1">
      <alignment horizontal="center" vertical="center"/>
    </xf>
    <xf numFmtId="0" fontId="8" fillId="0" borderId="11" xfId="0" applyFont="1" applyBorder="1" applyAlignment="1">
      <alignment horizontal="center" vertical="center" textRotation="90" wrapText="1"/>
    </xf>
    <xf numFmtId="0" fontId="16" fillId="0" borderId="11" xfId="0" applyFont="1" applyBorder="1" applyAlignment="1">
      <alignment horizontal="center" vertical="center" textRotation="90" wrapText="1"/>
    </xf>
    <xf numFmtId="9" fontId="8" fillId="0" borderId="11" xfId="0" applyNumberFormat="1" applyFont="1" applyBorder="1" applyAlignment="1">
      <alignment horizontal="center" vertical="center"/>
    </xf>
    <xf numFmtId="164" fontId="8" fillId="0" borderId="11" xfId="0" applyNumberFormat="1" applyFont="1" applyBorder="1" applyAlignment="1">
      <alignment horizontal="center" vertical="center"/>
    </xf>
    <xf numFmtId="0" fontId="14" fillId="0" borderId="11" xfId="0" applyFont="1" applyBorder="1" applyAlignment="1">
      <alignment horizontal="center" vertical="center" textRotation="90"/>
    </xf>
    <xf numFmtId="9" fontId="8" fillId="0" borderId="11" xfId="0" applyNumberFormat="1" applyFont="1" applyBorder="1" applyAlignment="1">
      <alignment horizontal="center" vertical="center" textRotation="90"/>
    </xf>
    <xf numFmtId="0" fontId="8" fillId="9" borderId="11" xfId="0" applyFont="1" applyFill="1" applyBorder="1" applyAlignment="1">
      <alignment vertical="center" textRotation="90"/>
    </xf>
    <xf numFmtId="0" fontId="8" fillId="0" borderId="26" xfId="0" applyFont="1" applyBorder="1" applyAlignment="1">
      <alignment horizontal="center" vertical="center" textRotation="90"/>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14" fontId="16" fillId="0" borderId="63" xfId="0" applyNumberFormat="1" applyFont="1" applyBorder="1" applyAlignment="1">
      <alignment horizontal="center" vertical="center" wrapText="1"/>
    </xf>
    <xf numFmtId="14" fontId="8" fillId="0" borderId="68" xfId="0" applyNumberFormat="1" applyFont="1" applyBorder="1" applyAlignment="1">
      <alignment horizontal="center" vertical="center" wrapText="1"/>
    </xf>
    <xf numFmtId="0" fontId="27" fillId="0" borderId="69" xfId="0" applyFont="1" applyBorder="1" applyAlignment="1">
      <alignment vertical="center" wrapText="1"/>
    </xf>
    <xf numFmtId="0" fontId="8" fillId="0" borderId="24" xfId="0" applyFont="1" applyBorder="1" applyAlignment="1" applyProtection="1">
      <alignment horizontal="center" vertical="center" wrapText="1"/>
      <protection locked="0"/>
    </xf>
    <xf numFmtId="0" fontId="17" fillId="0" borderId="24" xfId="0" applyFont="1" applyBorder="1" applyAlignment="1" applyProtection="1">
      <alignment horizontal="left" vertical="center" wrapText="1"/>
      <protection locked="0"/>
    </xf>
    <xf numFmtId="0" fontId="17" fillId="0" borderId="26" xfId="0" applyFont="1" applyBorder="1" applyAlignment="1">
      <alignment vertical="center" wrapText="1"/>
    </xf>
    <xf numFmtId="0" fontId="8" fillId="14" borderId="1" xfId="0" applyFont="1" applyFill="1" applyBorder="1" applyAlignment="1">
      <alignment horizontal="center" vertical="center"/>
    </xf>
    <xf numFmtId="9" fontId="16" fillId="14" borderId="1" xfId="0" applyNumberFormat="1" applyFont="1" applyFill="1" applyBorder="1" applyAlignment="1">
      <alignment horizontal="center" vertical="center"/>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14" fontId="16" fillId="0" borderId="52" xfId="0" applyNumberFormat="1" applyFont="1" applyBorder="1" applyAlignment="1">
      <alignment horizontal="center" vertical="center" wrapText="1"/>
    </xf>
    <xf numFmtId="14" fontId="8" fillId="0" borderId="70" xfId="0" applyNumberFormat="1" applyFont="1" applyBorder="1" applyAlignment="1">
      <alignment horizontal="center" vertical="center" wrapText="1"/>
    </xf>
    <xf numFmtId="0" fontId="8" fillId="0" borderId="23" xfId="0" applyFont="1" applyBorder="1" applyAlignment="1" applyProtection="1">
      <alignment horizontal="center" vertical="center" wrapText="1"/>
      <protection locked="0"/>
    </xf>
    <xf numFmtId="0" fontId="3" fillId="0" borderId="23" xfId="0" applyFont="1" applyBorder="1" applyAlignment="1" applyProtection="1">
      <alignment horizontal="left" vertical="center" wrapText="1"/>
      <protection locked="0"/>
    </xf>
    <xf numFmtId="0" fontId="17" fillId="0" borderId="96" xfId="0" applyFont="1" applyBorder="1" applyAlignment="1">
      <alignment vertical="center" wrapText="1"/>
    </xf>
    <xf numFmtId="14" fontId="8" fillId="0" borderId="75" xfId="0" applyNumberFormat="1" applyFont="1" applyBorder="1" applyAlignment="1">
      <alignment horizontal="center" vertical="center" wrapText="1"/>
    </xf>
    <xf numFmtId="0" fontId="27" fillId="0" borderId="88" xfId="0" applyFont="1" applyBorder="1" applyAlignment="1">
      <alignment vertical="center" wrapText="1"/>
    </xf>
    <xf numFmtId="0" fontId="8" fillId="0" borderId="47" xfId="0" applyFont="1" applyBorder="1" applyAlignment="1" applyProtection="1">
      <alignment horizontal="center" vertical="center" wrapText="1"/>
      <protection locked="0"/>
    </xf>
    <xf numFmtId="0" fontId="3" fillId="0" borderId="47" xfId="0" applyFont="1" applyBorder="1" applyAlignment="1" applyProtection="1">
      <alignment horizontal="center"/>
      <protection locked="0"/>
    </xf>
    <xf numFmtId="0" fontId="3" fillId="0" borderId="47" xfId="0" applyFont="1" applyBorder="1" applyAlignment="1" applyProtection="1">
      <alignment horizontal="left" vertical="center" wrapText="1"/>
      <protection locked="0"/>
    </xf>
    <xf numFmtId="0" fontId="17" fillId="0" borderId="52" xfId="0" applyFont="1" applyBorder="1" applyAlignment="1">
      <alignment horizontal="left" vertical="center" wrapText="1"/>
    </xf>
    <xf numFmtId="0" fontId="28" fillId="0" borderId="0" xfId="0" applyFont="1"/>
  </cellXfs>
  <cellStyles count="2">
    <cellStyle name="Millares [0]" xfId="1" builtinId="6"/>
    <cellStyle name="Normal" xfId="0" builtinId="0"/>
  </cellStyles>
  <dxfs count="101">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3C20FF7B-0987-41FC-B256-4DA233E288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96800</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E0478936-693D-4DA8-9679-7F9D4034F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guerra\Downloads\Mapa%20de%20Riesgos%20de%20Corrupci&#243;n%202023%20-%20Servicio%20a%20la%20Ciudadan&#237;a%20III%20Segui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guerra\Downloads\Mapa%20de%20Riesgos%20de%20Gestio&#769;n%20-%20Comunicaciones%20Estrate&#769;gicas%20III%20Segui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guerra\Downloads\Mapa%20de%20Riesgos%20de%20Gestio&#769;n%20-%20Gestio&#769;n%20del%20Conocimiento%20III%20Seguimien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guerra\Downloads\Mapa%20de%20Riesgos%20de%20gestio&#769;n%202023%20-%20Gestio&#769;n%20de%20Tics%20III%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 1"/>
      <sheetName val="Datos"/>
      <sheetName val="Instructivo"/>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de Gestión"/>
      <sheetName val="Datos"/>
    </sheetNames>
    <sheetDataSet>
      <sheetData sheetId="0"/>
      <sheetData sheetId="1">
        <row r="4">
          <cell r="J4" t="str">
            <v>MUY BAJA - LEVE</v>
          </cell>
          <cell r="K4" t="str">
            <v>BAJO</v>
          </cell>
          <cell r="O4" t="str">
            <v>Afectación Menor a 700 SMLMV</v>
          </cell>
          <cell r="P4" t="str">
            <v>Leve</v>
          </cell>
        </row>
        <row r="5">
          <cell r="J5" t="str">
            <v>MUY BAJA - MENOR</v>
          </cell>
          <cell r="K5" t="str">
            <v>BAJO</v>
          </cell>
          <cell r="O5" t="str">
            <v>Afectación Entre 700 y 1500 SMLMV</v>
          </cell>
          <cell r="P5" t="str">
            <v>Menor</v>
          </cell>
        </row>
        <row r="6">
          <cell r="J6" t="str">
            <v>MUY BAJA - MODERADO</v>
          </cell>
          <cell r="K6" t="str">
            <v>MODERADO</v>
          </cell>
          <cell r="O6" t="str">
            <v>Afectación Entre 1500 y 2300 SMLMV</v>
          </cell>
          <cell r="P6" t="str">
            <v>Moderado</v>
          </cell>
        </row>
        <row r="7">
          <cell r="J7" t="str">
            <v>MUY BAJA - MAYOR</v>
          </cell>
          <cell r="K7" t="str">
            <v>ALTO</v>
          </cell>
          <cell r="O7" t="str">
            <v>Afectación Entre 2300 y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0</v>
      </c>
      <c r="B2" t="s">
        <v>1</v>
      </c>
      <c r="D2" t="s">
        <v>2</v>
      </c>
      <c r="I2" s="5" t="s">
        <v>3</v>
      </c>
      <c r="J2" t="s">
        <v>4</v>
      </c>
      <c r="K2" t="s">
        <v>5</v>
      </c>
    </row>
    <row r="3" spans="1:12" ht="31.5" x14ac:dyDescent="0.25">
      <c r="A3" t="s">
        <v>6</v>
      </c>
      <c r="B3" t="s">
        <v>7</v>
      </c>
      <c r="D3" t="s">
        <v>8</v>
      </c>
      <c r="E3" t="s">
        <v>7</v>
      </c>
      <c r="I3" s="8" t="s">
        <v>9</v>
      </c>
      <c r="J3" t="s">
        <v>10</v>
      </c>
      <c r="K3" t="s">
        <v>11</v>
      </c>
    </row>
    <row r="4" spans="1:12" ht="31.5" x14ac:dyDescent="0.25">
      <c r="A4" t="s">
        <v>12</v>
      </c>
      <c r="B4" t="s">
        <v>13</v>
      </c>
      <c r="D4" t="s">
        <v>14</v>
      </c>
      <c r="E4" t="s">
        <v>15</v>
      </c>
      <c r="I4" s="11" t="s">
        <v>16</v>
      </c>
      <c r="J4" t="s">
        <v>17</v>
      </c>
      <c r="K4" t="s">
        <v>18</v>
      </c>
    </row>
    <row r="5" spans="1:12" ht="63" x14ac:dyDescent="0.25">
      <c r="A5" t="s">
        <v>19</v>
      </c>
      <c r="B5" t="s">
        <v>20</v>
      </c>
      <c r="D5" t="s">
        <v>21</v>
      </c>
      <c r="E5" t="s">
        <v>22</v>
      </c>
      <c r="I5" s="8" t="s">
        <v>23</v>
      </c>
      <c r="J5" t="s">
        <v>24</v>
      </c>
      <c r="K5" t="s">
        <v>25</v>
      </c>
      <c r="L5" t="s">
        <v>26</v>
      </c>
    </row>
    <row r="6" spans="1:12" ht="31.5" x14ac:dyDescent="0.25">
      <c r="A6" t="s">
        <v>27</v>
      </c>
      <c r="D6" t="s">
        <v>28</v>
      </c>
      <c r="E6" t="s">
        <v>7</v>
      </c>
      <c r="I6" s="8" t="s">
        <v>29</v>
      </c>
      <c r="J6" t="s">
        <v>30</v>
      </c>
      <c r="K6" t="s">
        <v>31</v>
      </c>
    </row>
    <row r="7" spans="1:12" ht="47.25" x14ac:dyDescent="0.25">
      <c r="A7" t="s">
        <v>32</v>
      </c>
      <c r="D7" t="s">
        <v>33</v>
      </c>
      <c r="E7" t="s">
        <v>15</v>
      </c>
      <c r="I7" s="8" t="s">
        <v>34</v>
      </c>
      <c r="J7" s="14" t="s">
        <v>35</v>
      </c>
      <c r="K7" s="14" t="s">
        <v>36</v>
      </c>
    </row>
    <row r="8" spans="1:12" ht="31.5" x14ac:dyDescent="0.25">
      <c r="D8" t="s">
        <v>37</v>
      </c>
      <c r="E8" t="s">
        <v>22</v>
      </c>
      <c r="I8" s="13" t="s">
        <v>38</v>
      </c>
      <c r="J8" t="s">
        <v>39</v>
      </c>
      <c r="K8" t="s">
        <v>40</v>
      </c>
      <c r="L8" t="s">
        <v>41</v>
      </c>
    </row>
    <row r="9" spans="1:12" x14ac:dyDescent="0.25">
      <c r="A9" t="s">
        <v>42</v>
      </c>
      <c r="D9" t="s">
        <v>43</v>
      </c>
      <c r="E9" t="s">
        <v>7</v>
      </c>
    </row>
    <row r="10" spans="1:12" x14ac:dyDescent="0.25">
      <c r="D10" t="s">
        <v>44</v>
      </c>
      <c r="E10" t="s">
        <v>15</v>
      </c>
    </row>
    <row r="11" spans="1:12" x14ac:dyDescent="0.25">
      <c r="A11" t="s">
        <v>45</v>
      </c>
      <c r="D11" t="s">
        <v>46</v>
      </c>
      <c r="E11" t="s">
        <v>22</v>
      </c>
    </row>
    <row r="12" spans="1:12" x14ac:dyDescent="0.25">
      <c r="A12" t="s">
        <v>47</v>
      </c>
      <c r="D12" t="s">
        <v>48</v>
      </c>
      <c r="E12" t="s">
        <v>15</v>
      </c>
    </row>
    <row r="13" spans="1:12" x14ac:dyDescent="0.25">
      <c r="D13" t="s">
        <v>49</v>
      </c>
      <c r="E13" t="s">
        <v>15</v>
      </c>
      <c r="I13" t="s">
        <v>50</v>
      </c>
    </row>
    <row r="14" spans="1:12" x14ac:dyDescent="0.25">
      <c r="D14" t="s">
        <v>51</v>
      </c>
      <c r="E14" t="s">
        <v>22</v>
      </c>
      <c r="I14" t="s">
        <v>52</v>
      </c>
    </row>
    <row r="15" spans="1:12" x14ac:dyDescent="0.25">
      <c r="D15" t="s">
        <v>53</v>
      </c>
      <c r="E15" t="s">
        <v>15</v>
      </c>
      <c r="I15" t="s">
        <v>54</v>
      </c>
    </row>
    <row r="16" spans="1:12" x14ac:dyDescent="0.25">
      <c r="A16" t="s">
        <v>55</v>
      </c>
      <c r="D16" t="s">
        <v>56</v>
      </c>
      <c r="E16" t="s">
        <v>15</v>
      </c>
      <c r="I16" t="s">
        <v>57</v>
      </c>
    </row>
    <row r="17" spans="1:5" x14ac:dyDescent="0.25">
      <c r="A17" t="s">
        <v>58</v>
      </c>
      <c r="D17" t="s">
        <v>59</v>
      </c>
      <c r="E17" t="s">
        <v>22</v>
      </c>
    </row>
    <row r="18" spans="1:5" x14ac:dyDescent="0.25">
      <c r="A18"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topLeftCell="Y8" zoomScale="50" zoomScaleNormal="50" zoomScaleSheetLayoutView="90" workbookViewId="0">
      <selection activeCell="AF16" sqref="AF16:AF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03"/>
      <c r="B1" s="63" t="s">
        <v>61</v>
      </c>
      <c r="C1" s="64"/>
      <c r="D1" s="64"/>
      <c r="E1" s="64"/>
      <c r="F1" s="64"/>
      <c r="G1" s="64"/>
      <c r="H1" s="64"/>
      <c r="I1" s="64"/>
      <c r="J1" s="64"/>
      <c r="K1" s="64"/>
      <c r="L1" s="64"/>
      <c r="M1" s="64"/>
      <c r="N1" s="64"/>
      <c r="O1" s="64"/>
      <c r="P1" s="64"/>
      <c r="Q1" s="64"/>
      <c r="R1" s="64"/>
      <c r="S1" s="64"/>
      <c r="T1" s="64"/>
      <c r="U1" s="64"/>
      <c r="V1" s="64"/>
      <c r="W1" s="64"/>
      <c r="X1" s="64"/>
      <c r="Y1" s="64"/>
      <c r="Z1" s="64"/>
      <c r="AA1" s="64"/>
      <c r="AB1" s="64"/>
      <c r="AC1" s="65"/>
      <c r="AD1" s="61" t="s">
        <v>62</v>
      </c>
      <c r="AE1" s="62"/>
      <c r="AF1" s="62"/>
      <c r="AG1" s="45" t="s">
        <v>63</v>
      </c>
      <c r="AH1" s="1"/>
      <c r="AI1" s="1"/>
      <c r="AJ1" s="1"/>
    </row>
    <row r="2" spans="1:36" ht="27" customHeight="1" thickBot="1" x14ac:dyDescent="0.3">
      <c r="A2" s="103"/>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8"/>
      <c r="AD2" s="61" t="s">
        <v>64</v>
      </c>
      <c r="AE2" s="62"/>
      <c r="AF2" s="62"/>
      <c r="AG2" s="46" t="s">
        <v>65</v>
      </c>
      <c r="AH2" s="1"/>
      <c r="AI2" s="1"/>
      <c r="AJ2" s="1"/>
    </row>
    <row r="3" spans="1:36" ht="27" customHeight="1" x14ac:dyDescent="0.25">
      <c r="A3" s="103"/>
      <c r="B3" s="63" t="s">
        <v>66</v>
      </c>
      <c r="C3" s="64"/>
      <c r="D3" s="64"/>
      <c r="E3" s="64"/>
      <c r="F3" s="64"/>
      <c r="G3" s="64"/>
      <c r="H3" s="64"/>
      <c r="I3" s="64"/>
      <c r="J3" s="64"/>
      <c r="K3" s="64"/>
      <c r="L3" s="64"/>
      <c r="M3" s="64"/>
      <c r="N3" s="64"/>
      <c r="O3" s="64"/>
      <c r="P3" s="64"/>
      <c r="Q3" s="64"/>
      <c r="R3" s="64"/>
      <c r="S3" s="64"/>
      <c r="T3" s="64"/>
      <c r="U3" s="64"/>
      <c r="V3" s="64"/>
      <c r="W3" s="64"/>
      <c r="X3" s="64"/>
      <c r="Y3" s="64"/>
      <c r="Z3" s="64"/>
      <c r="AA3" s="64"/>
      <c r="AB3" s="64"/>
      <c r="AC3" s="65"/>
      <c r="AD3" s="61" t="s">
        <v>67</v>
      </c>
      <c r="AE3" s="62"/>
      <c r="AF3" s="62"/>
      <c r="AG3" s="45" t="s">
        <v>68</v>
      </c>
      <c r="AH3" s="1"/>
      <c r="AI3" s="1"/>
      <c r="AJ3" s="1"/>
    </row>
    <row r="4" spans="1:36" ht="27" customHeight="1" thickBot="1" x14ac:dyDescent="0.3">
      <c r="A4" s="103"/>
      <c r="B4" s="66"/>
      <c r="C4" s="67"/>
      <c r="D4" s="67"/>
      <c r="E4" s="67"/>
      <c r="F4" s="67"/>
      <c r="G4" s="67"/>
      <c r="H4" s="67"/>
      <c r="I4" s="67"/>
      <c r="J4" s="67"/>
      <c r="K4" s="67"/>
      <c r="L4" s="67"/>
      <c r="M4" s="67"/>
      <c r="N4" s="67"/>
      <c r="O4" s="67"/>
      <c r="P4" s="67"/>
      <c r="Q4" s="67"/>
      <c r="R4" s="67"/>
      <c r="S4" s="67"/>
      <c r="T4" s="67"/>
      <c r="U4" s="67"/>
      <c r="V4" s="67"/>
      <c r="W4" s="67"/>
      <c r="X4" s="67"/>
      <c r="Y4" s="67"/>
      <c r="Z4" s="67"/>
      <c r="AA4" s="67"/>
      <c r="AB4" s="67"/>
      <c r="AC4" s="68"/>
      <c r="AD4" s="61" t="s">
        <v>69</v>
      </c>
      <c r="AE4" s="62"/>
      <c r="AF4" s="62"/>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70</v>
      </c>
      <c r="B6" s="104" t="s">
        <v>61</v>
      </c>
      <c r="C6" s="105"/>
      <c r="D6" s="105"/>
      <c r="E6" s="105"/>
      <c r="F6" s="105"/>
      <c r="G6" s="105"/>
      <c r="H6" s="106"/>
      <c r="I6" s="16"/>
      <c r="J6" s="22"/>
      <c r="K6" s="25" t="s">
        <v>71</v>
      </c>
      <c r="L6" s="24"/>
      <c r="M6" s="78">
        <v>44956</v>
      </c>
      <c r="N6" s="79"/>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72</v>
      </c>
      <c r="B8" s="58" t="s">
        <v>73</v>
      </c>
      <c r="C8" s="59"/>
      <c r="D8" s="59"/>
      <c r="E8" s="59"/>
      <c r="F8" s="59"/>
      <c r="G8" s="59"/>
      <c r="H8" s="59"/>
      <c r="I8" s="60"/>
      <c r="J8" s="16"/>
      <c r="K8" s="20" t="s">
        <v>74</v>
      </c>
      <c r="L8" s="20"/>
      <c r="M8" s="20" t="s">
        <v>75</v>
      </c>
      <c r="N8" s="20" t="s">
        <v>76</v>
      </c>
      <c r="O8" s="20" t="s">
        <v>77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78</v>
      </c>
      <c r="B9" s="58" t="s">
        <v>79</v>
      </c>
      <c r="C9" s="59"/>
      <c r="D9" s="59"/>
      <c r="E9" s="59"/>
      <c r="F9" s="59"/>
      <c r="G9" s="59"/>
      <c r="H9" s="59"/>
      <c r="I9" s="60"/>
      <c r="J9" s="16"/>
      <c r="K9" s="50"/>
      <c r="L9" s="21"/>
      <c r="M9" s="21"/>
      <c r="N9" s="50"/>
      <c r="O9" s="50" t="s">
        <v>80</v>
      </c>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07" t="s">
        <v>81</v>
      </c>
      <c r="B12" s="108"/>
      <c r="C12" s="108"/>
      <c r="D12" s="109"/>
      <c r="E12" s="110" t="s">
        <v>82</v>
      </c>
      <c r="F12" s="111"/>
      <c r="G12" s="111"/>
      <c r="H12" s="111"/>
      <c r="I12" s="111"/>
      <c r="J12" s="111"/>
      <c r="K12" s="111"/>
      <c r="L12" s="111"/>
      <c r="M12" s="111"/>
      <c r="N12" s="111"/>
      <c r="O12" s="111"/>
      <c r="P12" s="111"/>
      <c r="Q12" s="111"/>
      <c r="R12" s="111"/>
      <c r="S12" s="111"/>
      <c r="T12" s="111"/>
      <c r="U12" s="111"/>
      <c r="V12" s="111"/>
      <c r="W12" s="111"/>
      <c r="X12" s="112"/>
      <c r="Y12" s="33"/>
      <c r="Z12" s="69" t="s">
        <v>83</v>
      </c>
      <c r="AA12" s="152"/>
      <c r="AB12" s="152"/>
      <c r="AC12" s="152"/>
      <c r="AD12" s="70"/>
      <c r="AE12" s="1"/>
      <c r="AF12" s="69" t="s">
        <v>84</v>
      </c>
      <c r="AG12" s="70"/>
      <c r="AH12" s="1"/>
      <c r="AI12" s="1"/>
      <c r="AJ12" s="1"/>
    </row>
    <row r="13" spans="1:36" x14ac:dyDescent="0.25">
      <c r="A13" s="113" t="s">
        <v>85</v>
      </c>
      <c r="B13" s="94" t="s">
        <v>86</v>
      </c>
      <c r="C13" s="94" t="s">
        <v>87</v>
      </c>
      <c r="D13" s="125" t="s">
        <v>88</v>
      </c>
      <c r="E13" s="150" t="s">
        <v>89</v>
      </c>
      <c r="F13" s="151"/>
      <c r="G13" s="151"/>
      <c r="H13" s="151"/>
      <c r="I13" s="115" t="s">
        <v>90</v>
      </c>
      <c r="J13" s="116"/>
      <c r="K13" s="116"/>
      <c r="L13" s="116"/>
      <c r="M13" s="116"/>
      <c r="N13" s="116"/>
      <c r="O13" s="116"/>
      <c r="P13" s="116"/>
      <c r="Q13" s="116"/>
      <c r="R13" s="27"/>
      <c r="S13" s="27"/>
      <c r="T13" s="115" t="s">
        <v>91</v>
      </c>
      <c r="U13" s="116"/>
      <c r="V13" s="116"/>
      <c r="W13" s="116"/>
      <c r="X13" s="117"/>
      <c r="Y13" s="33"/>
      <c r="Z13" s="71"/>
      <c r="AA13" s="153"/>
      <c r="AB13" s="153"/>
      <c r="AC13" s="153"/>
      <c r="AD13" s="72"/>
      <c r="AE13" s="1"/>
      <c r="AF13" s="71"/>
      <c r="AG13" s="72"/>
      <c r="AH13" s="2"/>
      <c r="AI13" s="2"/>
      <c r="AJ13" s="2"/>
    </row>
    <row r="14" spans="1:36" ht="32.25" customHeight="1" thickBot="1" x14ac:dyDescent="0.3">
      <c r="A14" s="113"/>
      <c r="B14" s="94"/>
      <c r="C14" s="94"/>
      <c r="D14" s="125"/>
      <c r="E14" s="118" t="s">
        <v>92</v>
      </c>
      <c r="F14" s="119"/>
      <c r="G14" s="119"/>
      <c r="H14" s="119"/>
      <c r="I14" s="120" t="s">
        <v>93</v>
      </c>
      <c r="J14" s="121" t="s">
        <v>94</v>
      </c>
      <c r="K14" s="121" t="s">
        <v>95</v>
      </c>
      <c r="L14" s="122" t="s">
        <v>96</v>
      </c>
      <c r="M14" s="94" t="s">
        <v>97</v>
      </c>
      <c r="N14" s="124" t="s">
        <v>98</v>
      </c>
      <c r="O14" s="88" t="s">
        <v>99</v>
      </c>
      <c r="P14" s="94" t="s">
        <v>100</v>
      </c>
      <c r="Q14" s="88" t="s">
        <v>101</v>
      </c>
      <c r="R14" s="88" t="s">
        <v>102</v>
      </c>
      <c r="S14" s="30"/>
      <c r="T14" s="95" t="s">
        <v>103</v>
      </c>
      <c r="U14" s="94" t="s">
        <v>104</v>
      </c>
      <c r="V14" s="88" t="s">
        <v>105</v>
      </c>
      <c r="W14" s="94" t="s">
        <v>106</v>
      </c>
      <c r="X14" s="125"/>
      <c r="Y14" s="40"/>
      <c r="Z14" s="73"/>
      <c r="AA14" s="154"/>
      <c r="AB14" s="154"/>
      <c r="AC14" s="154"/>
      <c r="AD14" s="74"/>
      <c r="AE14" s="2"/>
      <c r="AF14" s="73"/>
      <c r="AG14" s="74"/>
      <c r="AH14" s="2"/>
      <c r="AI14" s="1"/>
      <c r="AJ14" s="2"/>
    </row>
    <row r="15" spans="1:36" ht="74.25" customHeight="1" x14ac:dyDescent="0.25">
      <c r="A15" s="114"/>
      <c r="B15" s="88"/>
      <c r="C15" s="88"/>
      <c r="D15" s="149"/>
      <c r="E15" s="34" t="s">
        <v>0</v>
      </c>
      <c r="F15" s="32" t="s">
        <v>1</v>
      </c>
      <c r="G15" s="3"/>
      <c r="H15" s="4" t="s">
        <v>107</v>
      </c>
      <c r="I15" s="95"/>
      <c r="J15" s="121"/>
      <c r="K15" s="121"/>
      <c r="L15" s="123"/>
      <c r="M15" s="94"/>
      <c r="N15" s="89"/>
      <c r="O15" s="89"/>
      <c r="P15" s="94"/>
      <c r="Q15" s="89"/>
      <c r="R15" s="89"/>
      <c r="S15" s="31"/>
      <c r="T15" s="96"/>
      <c r="U15" s="94"/>
      <c r="V15" s="89"/>
      <c r="W15" s="28" t="s">
        <v>108</v>
      </c>
      <c r="X15" s="35" t="s">
        <v>109</v>
      </c>
      <c r="Y15" s="40"/>
      <c r="Z15" s="43" t="s">
        <v>110</v>
      </c>
      <c r="AA15" s="29" t="s">
        <v>111</v>
      </c>
      <c r="AB15" s="29" t="s">
        <v>112</v>
      </c>
      <c r="AC15" s="29" t="s">
        <v>113</v>
      </c>
      <c r="AD15" s="44" t="s">
        <v>114</v>
      </c>
      <c r="AE15" s="2"/>
      <c r="AF15" s="43" t="s">
        <v>115</v>
      </c>
      <c r="AG15" s="44" t="s">
        <v>116</v>
      </c>
      <c r="AH15" s="2"/>
      <c r="AI15" s="1"/>
      <c r="AJ15" s="2"/>
    </row>
    <row r="16" spans="1:36" ht="51" customHeight="1" x14ac:dyDescent="0.25">
      <c r="A16" s="126"/>
      <c r="B16" s="97" t="s">
        <v>117</v>
      </c>
      <c r="C16" s="128" t="s">
        <v>118</v>
      </c>
      <c r="D16" s="128" t="s">
        <v>119</v>
      </c>
      <c r="E16" s="131" t="s">
        <v>6</v>
      </c>
      <c r="F16" s="134" t="s">
        <v>7</v>
      </c>
      <c r="G16" s="80" t="str">
        <f>+CONCATENATE(E16," - ",F16)</f>
        <v>MUY BAJA - MODERADO</v>
      </c>
      <c r="H16" s="136" t="str">
        <f>+VLOOKUP(G16,Datos!D3:E17,2,FALSE)</f>
        <v>MODERADO</v>
      </c>
      <c r="I16" s="139" t="s">
        <v>120</v>
      </c>
      <c r="J16" s="5" t="s">
        <v>3</v>
      </c>
      <c r="K16" s="6" t="s">
        <v>121</v>
      </c>
      <c r="L16" s="7">
        <f>IF(K16="ASIGNADO",15,IF(K16="NO ASIGNADO",0,""))</f>
        <v>15</v>
      </c>
      <c r="M16" s="141">
        <f>SUM(L16:L22)</f>
        <v>100</v>
      </c>
      <c r="N16" s="143" t="s">
        <v>122</v>
      </c>
      <c r="O16" s="93">
        <f>IF(O19="DÉBIL",0,IF(O19="MODERADO",50,IF(O19="FUERTE",100,"")))</f>
        <v>100</v>
      </c>
      <c r="P16" s="90" t="str">
        <f>IF(AND(M19="FUERTE",N16="FUERTE (SIEMPRE SE EJECUTA)"),"NO","SÍ")</f>
        <v>NO</v>
      </c>
      <c r="Q16" s="175" t="s">
        <v>123</v>
      </c>
      <c r="R16" s="83" t="str">
        <f>IF(AND(E16="MUY BAJA",Q19=2),"MUY BAJA",IF(AND(E16="BAJA",Q19=2),"MUY BAJA",IF(AND(E16="MEDIA",Q19=2),"MUY BAJA",IF(AND(E16="ALTA",Q19=2),"BAJA",IF(AND(E16="MUY ALTA",Q19=2),"MEDIA",IF(AND(E16="MUY BAJA",Q19=1),"MUY BAJA",IF(AND(E16="BAJA",Q19=1),"MUY BAJA",IF(AND(E16="MEDIA",Q19=1),"BAJA",IF(AND(E16="ALTA",Q19=1),"MEDIA",IF(AND(E16="MUY ALTA",Q19=1),"ALTA",E16))))))))))</f>
        <v>MUY BAJA</v>
      </c>
      <c r="S16" s="80" t="str">
        <f>+CONCATENATE(R16," - ",F16)</f>
        <v>MUY BAJA - MODERADO</v>
      </c>
      <c r="T16" s="136" t="str">
        <f>+VLOOKUP(S16,Datos!$D$3:$E$17,2,FALSE)</f>
        <v>MODERADO</v>
      </c>
      <c r="U16" s="176" t="s">
        <v>45</v>
      </c>
      <c r="V16" s="155" t="s">
        <v>124</v>
      </c>
      <c r="W16" s="97" t="s">
        <v>125</v>
      </c>
      <c r="X16" s="86" t="s">
        <v>126</v>
      </c>
      <c r="Y16" s="41"/>
      <c r="Z16" s="100">
        <v>45278</v>
      </c>
      <c r="AA16" s="164" t="s">
        <v>127</v>
      </c>
      <c r="AB16" s="164" t="s">
        <v>128</v>
      </c>
      <c r="AC16" s="161" t="s">
        <v>129</v>
      </c>
      <c r="AD16" s="166" t="s">
        <v>130</v>
      </c>
      <c r="AE16" s="1"/>
      <c r="AF16" s="75" t="s">
        <v>131</v>
      </c>
      <c r="AG16" s="168" t="s">
        <v>141</v>
      </c>
      <c r="AH16" s="1"/>
      <c r="AI16" s="1"/>
      <c r="AJ16" s="1"/>
    </row>
    <row r="17" spans="1:36" ht="31.5" x14ac:dyDescent="0.25">
      <c r="A17" s="126"/>
      <c r="B17" s="98"/>
      <c r="C17" s="129"/>
      <c r="D17" s="129"/>
      <c r="E17" s="132"/>
      <c r="F17" s="134"/>
      <c r="G17" s="81"/>
      <c r="H17" s="137"/>
      <c r="I17" s="139"/>
      <c r="J17" s="8" t="s">
        <v>9</v>
      </c>
      <c r="K17" s="9" t="s">
        <v>132</v>
      </c>
      <c r="L17" s="10">
        <f>IF(K17="ADECUADO",15,IF(K17="INADECUADO",0,""))</f>
        <v>15</v>
      </c>
      <c r="M17" s="142"/>
      <c r="N17" s="144"/>
      <c r="O17" s="93"/>
      <c r="P17" s="91"/>
      <c r="Q17" s="175"/>
      <c r="R17" s="84"/>
      <c r="S17" s="81"/>
      <c r="T17" s="137"/>
      <c r="U17" s="177"/>
      <c r="V17" s="156"/>
      <c r="W17" s="98"/>
      <c r="X17" s="87"/>
      <c r="Y17" s="41"/>
      <c r="Z17" s="101"/>
      <c r="AA17" s="164"/>
      <c r="AB17" s="164"/>
      <c r="AC17" s="161"/>
      <c r="AD17" s="166"/>
      <c r="AE17" s="1"/>
      <c r="AF17" s="76"/>
      <c r="AG17" s="169"/>
      <c r="AH17" s="1"/>
      <c r="AI17" s="1"/>
      <c r="AJ17" s="1"/>
    </row>
    <row r="18" spans="1:36" ht="63" x14ac:dyDescent="0.25">
      <c r="A18" s="126"/>
      <c r="B18" s="98"/>
      <c r="C18" s="129"/>
      <c r="D18" s="129"/>
      <c r="E18" s="132"/>
      <c r="F18" s="134"/>
      <c r="G18" s="81"/>
      <c r="H18" s="137"/>
      <c r="I18" s="139"/>
      <c r="J18" s="11" t="s">
        <v>16</v>
      </c>
      <c r="K18" s="9" t="s">
        <v>17</v>
      </c>
      <c r="L18" s="10">
        <f>IF(K18="OPORTUNA",15,IF(K18="INOPORTUNA",0,""))</f>
        <v>15</v>
      </c>
      <c r="M18" s="142"/>
      <c r="N18" s="144"/>
      <c r="O18" s="93"/>
      <c r="P18" s="91"/>
      <c r="Q18" s="12" t="s">
        <v>133</v>
      </c>
      <c r="R18" s="84"/>
      <c r="S18" s="81"/>
      <c r="T18" s="137"/>
      <c r="U18" s="177"/>
      <c r="V18" s="156"/>
      <c r="W18" s="98"/>
      <c r="X18" s="87"/>
      <c r="Y18" s="41"/>
      <c r="Z18" s="101"/>
      <c r="AA18" s="164"/>
      <c r="AB18" s="164"/>
      <c r="AC18" s="161"/>
      <c r="AD18" s="166"/>
      <c r="AE18" s="1"/>
      <c r="AF18" s="76"/>
      <c r="AG18" s="168" t="s">
        <v>142</v>
      </c>
      <c r="AH18" s="1"/>
      <c r="AI18" s="1"/>
      <c r="AJ18" s="1"/>
    </row>
    <row r="19" spans="1:36" ht="63" x14ac:dyDescent="0.25">
      <c r="A19" s="126"/>
      <c r="B19" s="98"/>
      <c r="C19" s="129"/>
      <c r="D19" s="129"/>
      <c r="E19" s="132"/>
      <c r="F19" s="134"/>
      <c r="G19" s="81"/>
      <c r="H19" s="137"/>
      <c r="I19" s="139"/>
      <c r="J19" s="8" t="s">
        <v>23</v>
      </c>
      <c r="K19" s="9" t="s">
        <v>134</v>
      </c>
      <c r="L19" s="10">
        <f>IF(K19="PREVENIR",15,IF(K19="DETECTAR",10,IF(K19="NO ES UN CONTROL",0,"")))</f>
        <v>15</v>
      </c>
      <c r="M19" s="146" t="str">
        <f>IF(M16&lt;86,"DÉBIL",IF(M16&lt;96,"MODERADO",IF(M16&lt;101,"FUERTE","")))</f>
        <v>FUERTE</v>
      </c>
      <c r="N19" s="144"/>
      <c r="O19" s="170" t="str">
        <f>IF(AND(M19="FUERTE",N16="FUERTE (SIEMPRE SE EJECUTA)"),"FUERTE",IF(OR(M19="DÉBIL",N16="DÉBIL (NO SE EJECUTA)"),"DÉBIL",IF(OR(M19="MODERADO",N16="MODERADO (ALGUNAS VECES)"),"MODERADO")))</f>
        <v>FUERTE</v>
      </c>
      <c r="P19" s="91"/>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84"/>
      <c r="S19" s="81"/>
      <c r="T19" s="137"/>
      <c r="U19" s="177"/>
      <c r="V19" s="157" t="s">
        <v>55</v>
      </c>
      <c r="W19" s="98"/>
      <c r="X19" s="157" t="s">
        <v>135</v>
      </c>
      <c r="Y19" s="42"/>
      <c r="Z19" s="101"/>
      <c r="AA19" s="164"/>
      <c r="AB19" s="164"/>
      <c r="AC19" s="161"/>
      <c r="AD19" s="166"/>
      <c r="AE19" s="1"/>
      <c r="AF19" s="76"/>
      <c r="AG19" s="169"/>
      <c r="AH19" s="1"/>
      <c r="AI19" s="1"/>
      <c r="AJ19" s="1"/>
    </row>
    <row r="20" spans="1:36" ht="47.25" x14ac:dyDescent="0.25">
      <c r="A20" s="126"/>
      <c r="B20" s="98"/>
      <c r="C20" s="129"/>
      <c r="D20" s="129"/>
      <c r="E20" s="132"/>
      <c r="F20" s="134"/>
      <c r="G20" s="81"/>
      <c r="H20" s="137"/>
      <c r="I20" s="139"/>
      <c r="J20" s="8" t="s">
        <v>29</v>
      </c>
      <c r="K20" s="9" t="s">
        <v>136</v>
      </c>
      <c r="L20" s="10">
        <f>IF(K20="CONFIABLE",15,IF(K20="NO CONFIABLE",0,""))</f>
        <v>15</v>
      </c>
      <c r="M20" s="147"/>
      <c r="N20" s="144"/>
      <c r="O20" s="170"/>
      <c r="P20" s="91"/>
      <c r="Q20" s="173"/>
      <c r="R20" s="84"/>
      <c r="S20" s="81"/>
      <c r="T20" s="137"/>
      <c r="U20" s="177"/>
      <c r="V20" s="158"/>
      <c r="W20" s="98"/>
      <c r="X20" s="158"/>
      <c r="Y20" s="42"/>
      <c r="Z20" s="101"/>
      <c r="AA20" s="164"/>
      <c r="AB20" s="164"/>
      <c r="AC20" s="161"/>
      <c r="AD20" s="166"/>
      <c r="AE20" s="1"/>
      <c r="AF20" s="76"/>
      <c r="AG20" s="51" t="s">
        <v>143</v>
      </c>
      <c r="AH20" s="1"/>
      <c r="AI20" s="1"/>
      <c r="AJ20" s="1"/>
    </row>
    <row r="21" spans="1:36" ht="47.25" x14ac:dyDescent="0.25">
      <c r="A21" s="126"/>
      <c r="B21" s="98"/>
      <c r="C21" s="129"/>
      <c r="D21" s="129"/>
      <c r="E21" s="132"/>
      <c r="F21" s="134"/>
      <c r="G21" s="81"/>
      <c r="H21" s="137"/>
      <c r="I21" s="139"/>
      <c r="J21" s="8" t="s">
        <v>34</v>
      </c>
      <c r="K21" s="9" t="s">
        <v>137</v>
      </c>
      <c r="L21" s="10">
        <f>IF(K21="SE INVESTIGAN Y SE RESUELVEN OPORTUNAMENTE",15,IF(K21="NO SE INVESTIGAN Y SE RESUELVEN OPORTUNAMENTE",0,""))</f>
        <v>15</v>
      </c>
      <c r="M21" s="147"/>
      <c r="N21" s="144"/>
      <c r="O21" s="170"/>
      <c r="P21" s="91"/>
      <c r="Q21" s="173"/>
      <c r="R21" s="84"/>
      <c r="S21" s="81"/>
      <c r="T21" s="137"/>
      <c r="U21" s="177"/>
      <c r="V21" s="159" t="s">
        <v>60</v>
      </c>
      <c r="W21" s="98"/>
      <c r="X21" s="86" t="s">
        <v>138</v>
      </c>
      <c r="Y21" s="41"/>
      <c r="Z21" s="101"/>
      <c r="AA21" s="164"/>
      <c r="AB21" s="164"/>
      <c r="AC21" s="161"/>
      <c r="AD21" s="166"/>
      <c r="AE21" s="1"/>
      <c r="AF21" s="76"/>
      <c r="AG21" s="168" t="s">
        <v>140</v>
      </c>
      <c r="AH21" s="1"/>
      <c r="AI21" s="1"/>
      <c r="AJ21" s="1"/>
    </row>
    <row r="22" spans="1:36" ht="48" thickBot="1" x14ac:dyDescent="0.3">
      <c r="A22" s="127"/>
      <c r="B22" s="99"/>
      <c r="C22" s="130"/>
      <c r="D22" s="130"/>
      <c r="E22" s="133"/>
      <c r="F22" s="135"/>
      <c r="G22" s="82"/>
      <c r="H22" s="138"/>
      <c r="I22" s="140"/>
      <c r="J22" s="36" t="s">
        <v>38</v>
      </c>
      <c r="K22" s="37" t="s">
        <v>139</v>
      </c>
      <c r="L22" s="38">
        <f>IF(K22="COMPLETA",10,IF(K22="INCOMPLETA",5,IF(K22="NO EXISTE",0,"")))</f>
        <v>10</v>
      </c>
      <c r="M22" s="148"/>
      <c r="N22" s="145"/>
      <c r="O22" s="171"/>
      <c r="P22" s="92"/>
      <c r="Q22" s="174"/>
      <c r="R22" s="85"/>
      <c r="S22" s="82"/>
      <c r="T22" s="138"/>
      <c r="U22" s="178"/>
      <c r="V22" s="160"/>
      <c r="W22" s="99"/>
      <c r="X22" s="163"/>
      <c r="Y22" s="41"/>
      <c r="Z22" s="102"/>
      <c r="AA22" s="165"/>
      <c r="AB22" s="165"/>
      <c r="AC22" s="162"/>
      <c r="AD22" s="167"/>
      <c r="AE22" s="1"/>
      <c r="AF22" s="77"/>
      <c r="AG22" s="169"/>
      <c r="AH22" s="1"/>
      <c r="AI22" s="1"/>
      <c r="AJ22" s="1"/>
    </row>
  </sheetData>
  <dataConsolidate/>
  <mergeCells count="74">
    <mergeCell ref="AG16:AG17"/>
    <mergeCell ref="AG18:AG19"/>
    <mergeCell ref="AG21:AG2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100" priority="12" operator="containsText" text="EXTREMO">
      <formula>NOT(ISERROR(SEARCH("EXTREMO",H16)))</formula>
    </cfRule>
    <cfRule type="containsText" dxfId="99" priority="13" operator="containsText" text="ALTO">
      <formula>NOT(ISERROR(SEARCH("ALTO",H16)))</formula>
    </cfRule>
    <cfRule type="containsText" dxfId="98" priority="14" operator="containsText" text="MODERADO">
      <formula>NOT(ISERROR(SEARCH("MODERADO",H16)))</formula>
    </cfRule>
  </conditionalFormatting>
  <conditionalFormatting sqref="T16:T22">
    <cfRule type="containsText" dxfId="97" priority="1" operator="containsText" text="EXTREMO">
      <formula>NOT(ISERROR(SEARCH("EXTREMO",T16)))</formula>
    </cfRule>
    <cfRule type="containsText" dxfId="96" priority="2" operator="containsText" text="ALTO">
      <formula>NOT(ISERROR(SEARCH("ALTO",T16)))</formula>
    </cfRule>
    <cfRule type="containsText" dxfId="95" priority="3" operator="containsText" text="MODERADO">
      <formula>NOT(ISERROR(SEARCH("MODERADO",T16)))</formula>
    </cfRule>
  </conditionalFormatting>
  <dataValidations count="1">
    <dataValidation type="list" allowBlank="1" showInputMessage="1" showErrorMessage="1" sqref="Q16:Q17">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Datos!$J$5:$L$5</xm:f>
          </x14:formula1>
          <xm:sqref>K19</xm:sqref>
        </x14:dataValidation>
        <x14:dataValidation type="list" allowBlank="1" showInputMessage="1" showErrorMessage="1">
          <x14:formula1>
            <xm:f>Datos!$A$11:$A$13</xm:f>
          </x14:formula1>
          <xm:sqref>U16:U22</xm:sqref>
        </x14:dataValidation>
        <x14:dataValidation type="list" allowBlank="1" showInputMessage="1" showErrorMessage="1">
          <x14:formula1>
            <xm:f>Datos!$J$7:$K$7</xm:f>
          </x14:formula1>
          <xm:sqref>K21</xm:sqref>
        </x14:dataValidation>
        <x14:dataValidation type="list" allowBlank="1" showInputMessage="1" showErrorMessage="1">
          <x14:formula1>
            <xm:f>Datos!$J$6:$K$6</xm:f>
          </x14:formula1>
          <xm:sqref>K20</xm:sqref>
        </x14:dataValidation>
        <x14:dataValidation type="list" allowBlank="1" showInputMessage="1" showErrorMessage="1">
          <x14:formula1>
            <xm:f>Datos!$J$3:$K$3</xm:f>
          </x14:formula1>
          <xm:sqref>K17</xm:sqref>
        </x14:dataValidation>
        <x14:dataValidation type="list" allowBlank="1" showInputMessage="1" showErrorMessage="1">
          <x14:formula1>
            <xm:f>Datos!$J$2:$K$2</xm:f>
          </x14:formula1>
          <xm:sqref>K16</xm:sqref>
        </x14:dataValidation>
        <x14:dataValidation type="list" allowBlank="1" showInputMessage="1" showErrorMessage="1">
          <x14:formula1>
            <xm:f>Datos!$J$8:$L$8</xm:f>
          </x14:formula1>
          <xm:sqref>K22</xm:sqref>
        </x14:dataValidation>
        <x14:dataValidation type="list" allowBlank="1" showInputMessage="1" showErrorMessage="1">
          <x14:formula1>
            <xm:f>Datos!$B$3:$B$5</xm:f>
          </x14:formula1>
          <xm:sqref>F16:F22</xm:sqref>
        </x14:dataValidation>
        <x14:dataValidation type="list" allowBlank="1" showInputMessage="1" showErrorMessage="1">
          <x14:formula1>
            <xm:f>Datos!$A$3:$A$7</xm:f>
          </x14:formula1>
          <xm:sqref>E16</xm:sqref>
        </x14:dataValidation>
        <x14:dataValidation type="list" allowBlank="1" showInputMessage="1" showErrorMessage="1">
          <x14:formula1>
            <xm:f>Datos!$J$4:$K$4</xm:f>
          </x14:formula1>
          <xm:sqref>K18</xm:sqref>
        </x14:dataValidation>
        <x14:dataValidation type="list" allowBlank="1" showInputMessage="1" showErrorMessage="1">
          <x14:formula1>
            <xm:f>Datos!$A$17:$A$18</xm:f>
          </x14:formula1>
          <xm:sqref>V21:V22</xm:sqref>
        </x14:dataValidation>
        <x14:dataValidation type="list" allowBlank="1" showInputMessage="1" showErrorMessage="1">
          <x14:formula1>
            <xm:f>Datos!$I$14:$I$16</xm:f>
          </x14:formula1>
          <xm:sqref>N16:N22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topLeftCell="Z13" zoomScale="70" zoomScaleNormal="70" zoomScaleSheetLayoutView="50" workbookViewId="0">
      <selection activeCell="AB28" sqref="AB28"/>
    </sheetView>
  </sheetViews>
  <sheetFormatPr baseColWidth="10" defaultColWidth="11.42578125" defaultRowHeight="15" x14ac:dyDescent="0.25"/>
  <cols>
    <col min="1" max="1" width="36.85546875" customWidth="1"/>
    <col min="2" max="2" width="32.7109375" customWidth="1"/>
    <col min="3" max="4" width="32.5703125" customWidth="1"/>
    <col min="5" max="6" width="20.85546875" customWidth="1"/>
    <col min="7" max="7" width="20.85546875" hidden="1" customWidth="1"/>
    <col min="8" max="8" width="25.42578125" customWidth="1"/>
    <col min="9" max="9" width="59.140625" customWidth="1"/>
    <col min="10" max="10" width="53.85546875" customWidth="1"/>
    <col min="11" max="11" width="24.5703125" customWidth="1"/>
    <col min="12" max="12" width="5.7109375" hidden="1" customWidth="1"/>
    <col min="13" max="15" width="24.5703125" customWidth="1"/>
    <col min="16" max="16" width="20" customWidth="1"/>
    <col min="17" max="17" width="25.140625" customWidth="1"/>
    <col min="18" max="19" width="25.140625" hidden="1" customWidth="1"/>
    <col min="20" max="20" width="25.140625" customWidth="1"/>
    <col min="21" max="21" width="16.7109375" customWidth="1"/>
    <col min="22" max="24" width="25.42578125" customWidth="1"/>
    <col min="25" max="25" width="1.7109375" customWidth="1"/>
    <col min="26" max="28" width="33.42578125" customWidth="1"/>
    <col min="29" max="29" width="40.28515625" customWidth="1"/>
    <col min="30" max="30" width="34.85546875" customWidth="1"/>
    <col min="31" max="31" width="0.85546875" customWidth="1"/>
    <col min="32" max="32" width="42.7109375" customWidth="1"/>
    <col min="33" max="33" width="39.85546875" customWidth="1"/>
    <col min="34" max="36" width="11.42578125" customWidth="1"/>
  </cols>
  <sheetData>
    <row r="1" spans="1:36" ht="27" customHeight="1" x14ac:dyDescent="0.25">
      <c r="A1" s="103"/>
      <c r="B1" s="63" t="s">
        <v>61</v>
      </c>
      <c r="C1" s="64"/>
      <c r="D1" s="64"/>
      <c r="E1" s="64"/>
      <c r="F1" s="64"/>
      <c r="G1" s="64"/>
      <c r="H1" s="64"/>
      <c r="I1" s="64"/>
      <c r="J1" s="64"/>
      <c r="K1" s="64"/>
      <c r="L1" s="64"/>
      <c r="M1" s="64"/>
      <c r="N1" s="64"/>
      <c r="O1" s="64"/>
      <c r="P1" s="64"/>
      <c r="Q1" s="64"/>
      <c r="R1" s="64"/>
      <c r="S1" s="64"/>
      <c r="T1" s="64"/>
      <c r="U1" s="64"/>
      <c r="V1" s="64"/>
      <c r="W1" s="64"/>
      <c r="X1" s="64"/>
      <c r="Y1" s="64"/>
      <c r="Z1" s="64"/>
      <c r="AA1" s="64"/>
      <c r="AB1" s="64"/>
      <c r="AC1" s="65"/>
      <c r="AD1" s="61" t="s">
        <v>62</v>
      </c>
      <c r="AE1" s="62"/>
      <c r="AF1" s="62"/>
      <c r="AG1" s="57" t="s">
        <v>63</v>
      </c>
      <c r="AH1" s="1"/>
      <c r="AI1" s="1"/>
      <c r="AJ1" s="1"/>
    </row>
    <row r="2" spans="1:36" ht="27" customHeight="1" thickBot="1" x14ac:dyDescent="0.3">
      <c r="A2" s="103"/>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8"/>
      <c r="AD2" s="61" t="s">
        <v>64</v>
      </c>
      <c r="AE2" s="62"/>
      <c r="AF2" s="62"/>
      <c r="AG2" s="46" t="s">
        <v>65</v>
      </c>
      <c r="AH2" s="1"/>
      <c r="AI2" s="1"/>
      <c r="AJ2" s="1"/>
    </row>
    <row r="3" spans="1:36" ht="27" customHeight="1" x14ac:dyDescent="0.25">
      <c r="A3" s="103"/>
      <c r="B3" s="63" t="s">
        <v>66</v>
      </c>
      <c r="C3" s="64"/>
      <c r="D3" s="64"/>
      <c r="E3" s="64"/>
      <c r="F3" s="64"/>
      <c r="G3" s="64"/>
      <c r="H3" s="64"/>
      <c r="I3" s="64"/>
      <c r="J3" s="64"/>
      <c r="K3" s="64"/>
      <c r="L3" s="64"/>
      <c r="M3" s="64"/>
      <c r="N3" s="64"/>
      <c r="O3" s="64"/>
      <c r="P3" s="64"/>
      <c r="Q3" s="64"/>
      <c r="R3" s="64"/>
      <c r="S3" s="64"/>
      <c r="T3" s="64"/>
      <c r="U3" s="64"/>
      <c r="V3" s="64"/>
      <c r="W3" s="64"/>
      <c r="X3" s="64"/>
      <c r="Y3" s="64"/>
      <c r="Z3" s="64"/>
      <c r="AA3" s="64"/>
      <c r="AB3" s="64"/>
      <c r="AC3" s="65"/>
      <c r="AD3" s="61" t="s">
        <v>67</v>
      </c>
      <c r="AE3" s="62"/>
      <c r="AF3" s="62"/>
      <c r="AG3" s="57" t="s">
        <v>68</v>
      </c>
      <c r="AH3" s="1"/>
      <c r="AI3" s="1"/>
      <c r="AJ3" s="1"/>
    </row>
    <row r="4" spans="1:36" ht="27" customHeight="1" thickBot="1" x14ac:dyDescent="0.3">
      <c r="A4" s="103"/>
      <c r="B4" s="66"/>
      <c r="C4" s="67"/>
      <c r="D4" s="67"/>
      <c r="E4" s="67"/>
      <c r="F4" s="67"/>
      <c r="G4" s="67"/>
      <c r="H4" s="67"/>
      <c r="I4" s="67"/>
      <c r="J4" s="67"/>
      <c r="K4" s="67"/>
      <c r="L4" s="67"/>
      <c r="M4" s="67"/>
      <c r="N4" s="67"/>
      <c r="O4" s="67"/>
      <c r="P4" s="67"/>
      <c r="Q4" s="67"/>
      <c r="R4" s="67"/>
      <c r="S4" s="67"/>
      <c r="T4" s="67"/>
      <c r="U4" s="67"/>
      <c r="V4" s="67"/>
      <c r="W4" s="67"/>
      <c r="X4" s="67"/>
      <c r="Y4" s="67"/>
      <c r="Z4" s="67"/>
      <c r="AA4" s="67"/>
      <c r="AB4" s="67"/>
      <c r="AC4" s="68"/>
      <c r="AD4" s="61" t="s">
        <v>69</v>
      </c>
      <c r="AE4" s="62"/>
      <c r="AF4" s="62"/>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70</v>
      </c>
      <c r="B6" s="104" t="s">
        <v>144</v>
      </c>
      <c r="C6" s="105"/>
      <c r="D6" s="105"/>
      <c r="E6" s="105"/>
      <c r="F6" s="105"/>
      <c r="G6" s="105"/>
      <c r="H6" s="106"/>
      <c r="I6" s="16"/>
      <c r="J6" s="22"/>
      <c r="K6" s="25" t="s">
        <v>71</v>
      </c>
      <c r="L6" s="24"/>
      <c r="M6" s="78">
        <v>44956</v>
      </c>
      <c r="N6" s="79"/>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72</v>
      </c>
      <c r="B8" s="58" t="s">
        <v>145</v>
      </c>
      <c r="C8" s="59"/>
      <c r="D8" s="59"/>
      <c r="E8" s="59"/>
      <c r="F8" s="59"/>
      <c r="G8" s="59"/>
      <c r="H8" s="59"/>
      <c r="I8" s="60"/>
      <c r="J8" s="16"/>
      <c r="K8" s="20" t="s">
        <v>74</v>
      </c>
      <c r="L8" s="20"/>
      <c r="M8" s="20" t="s">
        <v>75</v>
      </c>
      <c r="N8" s="20" t="s">
        <v>76</v>
      </c>
      <c r="O8" s="20" t="s">
        <v>77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78</v>
      </c>
      <c r="B9" s="58" t="s">
        <v>146</v>
      </c>
      <c r="C9" s="59"/>
      <c r="D9" s="59"/>
      <c r="E9" s="59"/>
      <c r="F9" s="59"/>
      <c r="G9" s="59"/>
      <c r="H9" s="59"/>
      <c r="I9" s="60"/>
      <c r="J9" s="16"/>
      <c r="K9" s="50"/>
      <c r="L9" s="21"/>
      <c r="M9" s="21"/>
      <c r="N9" s="179"/>
      <c r="O9" s="179" t="s">
        <v>80</v>
      </c>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07" t="s">
        <v>81</v>
      </c>
      <c r="B12" s="108"/>
      <c r="C12" s="108"/>
      <c r="D12" s="109"/>
      <c r="E12" s="110" t="s">
        <v>82</v>
      </c>
      <c r="F12" s="111"/>
      <c r="G12" s="111"/>
      <c r="H12" s="111"/>
      <c r="I12" s="111"/>
      <c r="J12" s="111"/>
      <c r="K12" s="111"/>
      <c r="L12" s="111"/>
      <c r="M12" s="111"/>
      <c r="N12" s="111"/>
      <c r="O12" s="111"/>
      <c r="P12" s="111"/>
      <c r="Q12" s="111"/>
      <c r="R12" s="111"/>
      <c r="S12" s="111"/>
      <c r="T12" s="111"/>
      <c r="U12" s="111"/>
      <c r="V12" s="111"/>
      <c r="W12" s="111"/>
      <c r="X12" s="112"/>
      <c r="Y12" s="33"/>
      <c r="Z12" s="69" t="s">
        <v>83</v>
      </c>
      <c r="AA12" s="152"/>
      <c r="AB12" s="152"/>
      <c r="AC12" s="152"/>
      <c r="AD12" s="70"/>
      <c r="AE12" s="1"/>
      <c r="AF12" s="69" t="s">
        <v>84</v>
      </c>
      <c r="AG12" s="70"/>
      <c r="AH12" s="1"/>
      <c r="AI12" s="1"/>
      <c r="AJ12" s="1"/>
    </row>
    <row r="13" spans="1:36" x14ac:dyDescent="0.25">
      <c r="A13" s="113" t="s">
        <v>85</v>
      </c>
      <c r="B13" s="94" t="s">
        <v>86</v>
      </c>
      <c r="C13" s="94" t="s">
        <v>87</v>
      </c>
      <c r="D13" s="125" t="s">
        <v>88</v>
      </c>
      <c r="E13" s="150" t="s">
        <v>89</v>
      </c>
      <c r="F13" s="151"/>
      <c r="G13" s="151"/>
      <c r="H13" s="151"/>
      <c r="I13" s="115" t="s">
        <v>90</v>
      </c>
      <c r="J13" s="116"/>
      <c r="K13" s="116"/>
      <c r="L13" s="116"/>
      <c r="M13" s="116"/>
      <c r="N13" s="116"/>
      <c r="O13" s="116"/>
      <c r="P13" s="116"/>
      <c r="Q13" s="116"/>
      <c r="R13" s="27"/>
      <c r="S13" s="27"/>
      <c r="T13" s="115" t="s">
        <v>91</v>
      </c>
      <c r="U13" s="116"/>
      <c r="V13" s="116"/>
      <c r="W13" s="116"/>
      <c r="X13" s="117"/>
      <c r="Y13" s="33"/>
      <c r="Z13" s="71"/>
      <c r="AA13" s="153"/>
      <c r="AB13" s="153"/>
      <c r="AC13" s="153"/>
      <c r="AD13" s="72"/>
      <c r="AE13" s="1"/>
      <c r="AF13" s="71"/>
      <c r="AG13" s="72"/>
      <c r="AH13" s="2"/>
      <c r="AI13" s="2"/>
      <c r="AJ13" s="2"/>
    </row>
    <row r="14" spans="1:36" ht="30.75" customHeight="1" thickBot="1" x14ac:dyDescent="0.3">
      <c r="A14" s="113"/>
      <c r="B14" s="94"/>
      <c r="C14" s="94"/>
      <c r="D14" s="125"/>
      <c r="E14" s="118" t="s">
        <v>92</v>
      </c>
      <c r="F14" s="119"/>
      <c r="G14" s="119"/>
      <c r="H14" s="119"/>
      <c r="I14" s="120" t="s">
        <v>93</v>
      </c>
      <c r="J14" s="121" t="s">
        <v>94</v>
      </c>
      <c r="K14" s="121" t="s">
        <v>95</v>
      </c>
      <c r="L14" s="122" t="s">
        <v>96</v>
      </c>
      <c r="M14" s="94" t="s">
        <v>97</v>
      </c>
      <c r="N14" s="124" t="s">
        <v>98</v>
      </c>
      <c r="O14" s="88" t="s">
        <v>99</v>
      </c>
      <c r="P14" s="94" t="s">
        <v>100</v>
      </c>
      <c r="Q14" s="88" t="s">
        <v>101</v>
      </c>
      <c r="R14" s="88" t="s">
        <v>102</v>
      </c>
      <c r="S14" s="56"/>
      <c r="T14" s="95" t="s">
        <v>103</v>
      </c>
      <c r="U14" s="94" t="s">
        <v>104</v>
      </c>
      <c r="V14" s="88" t="s">
        <v>105</v>
      </c>
      <c r="W14" s="94" t="s">
        <v>106</v>
      </c>
      <c r="X14" s="125"/>
      <c r="Y14" s="40"/>
      <c r="Z14" s="73"/>
      <c r="AA14" s="154"/>
      <c r="AB14" s="154"/>
      <c r="AC14" s="154"/>
      <c r="AD14" s="74"/>
      <c r="AE14" s="2"/>
      <c r="AF14" s="73"/>
      <c r="AG14" s="74"/>
      <c r="AH14" s="2"/>
      <c r="AI14" s="1"/>
      <c r="AJ14" s="2"/>
    </row>
    <row r="15" spans="1:36" ht="74.25" customHeight="1" x14ac:dyDescent="0.25">
      <c r="A15" s="114"/>
      <c r="B15" s="88"/>
      <c r="C15" s="88"/>
      <c r="D15" s="149"/>
      <c r="E15" s="34" t="s">
        <v>0</v>
      </c>
      <c r="F15" s="32" t="s">
        <v>1</v>
      </c>
      <c r="G15" s="3"/>
      <c r="H15" s="4" t="s">
        <v>107</v>
      </c>
      <c r="I15" s="95"/>
      <c r="J15" s="121"/>
      <c r="K15" s="121"/>
      <c r="L15" s="123"/>
      <c r="M15" s="94"/>
      <c r="N15" s="89"/>
      <c r="O15" s="89"/>
      <c r="P15" s="94"/>
      <c r="Q15" s="89"/>
      <c r="R15" s="89"/>
      <c r="S15" s="54"/>
      <c r="T15" s="96"/>
      <c r="U15" s="94"/>
      <c r="V15" s="89"/>
      <c r="W15" s="52" t="s">
        <v>108</v>
      </c>
      <c r="X15" s="53" t="s">
        <v>109</v>
      </c>
      <c r="Y15" s="40"/>
      <c r="Z15" s="43" t="s">
        <v>110</v>
      </c>
      <c r="AA15" s="55" t="s">
        <v>111</v>
      </c>
      <c r="AB15" s="55" t="s">
        <v>112</v>
      </c>
      <c r="AC15" s="55" t="s">
        <v>113</v>
      </c>
      <c r="AD15" s="44" t="s">
        <v>114</v>
      </c>
      <c r="AE15" s="2"/>
      <c r="AF15" s="43" t="s">
        <v>115</v>
      </c>
      <c r="AG15" s="44" t="s">
        <v>116</v>
      </c>
      <c r="AH15" s="2"/>
      <c r="AI15" s="1"/>
      <c r="AJ15" s="2"/>
    </row>
    <row r="16" spans="1:36" ht="41.25" customHeight="1" x14ac:dyDescent="0.25">
      <c r="A16" s="180">
        <v>1</v>
      </c>
      <c r="B16" s="97" t="s">
        <v>147</v>
      </c>
      <c r="C16" s="181" t="s">
        <v>148</v>
      </c>
      <c r="D16" s="181" t="s">
        <v>149</v>
      </c>
      <c r="E16" s="131" t="s">
        <v>6</v>
      </c>
      <c r="F16" s="134" t="s">
        <v>7</v>
      </c>
      <c r="G16" s="80" t="str">
        <f>+CONCATENATE(E16," - ",F16)</f>
        <v>MUY BAJA - MODERADO</v>
      </c>
      <c r="H16" s="136" t="str">
        <f>+VLOOKUP(G16,[1]Datos!D3:E17,2,FALSE)</f>
        <v>MODERADO</v>
      </c>
      <c r="I16" s="139" t="s">
        <v>150</v>
      </c>
      <c r="J16" s="5" t="s">
        <v>3</v>
      </c>
      <c r="K16" s="6" t="s">
        <v>121</v>
      </c>
      <c r="L16" s="7">
        <f>IF(K16="ASIGNADO",15,IF(K16="NO ASIGNADO",0,""))</f>
        <v>15</v>
      </c>
      <c r="M16" s="141">
        <f>SUM(L16:L22)</f>
        <v>100</v>
      </c>
      <c r="N16" s="143" t="s">
        <v>151</v>
      </c>
      <c r="O16" s="93">
        <f>IF(O19="DÉBIL",0,IF(O19="MODERADO",50,IF(O19="FUERTE",100,"")))</f>
        <v>100</v>
      </c>
      <c r="P16" s="90" t="str">
        <f>IF(AND(M19="FUERTE",N16="FUERTE (SIEMPRE SE EJECUTA)"),"NO","SÍ")</f>
        <v>NO</v>
      </c>
      <c r="Q16" s="175" t="s">
        <v>123</v>
      </c>
      <c r="R16" s="83" t="str">
        <f>IF(AND(E16="MUY BAJA",Q19=2),"MUY BAJA",IF(AND(E16="BAJA",Q19=2),"MUY BAJA",IF(AND(E16="MEDIA",Q19=2),"MUY BAJA",IF(AND(E16="ALTA",Q19=2),"BAJA",IF(AND(E16="MUY ALTA",Q19=2),"MEDIA",IF(AND(E16="MUY BAJA",Q19=1),"MUY BAJA",IF(AND(E16="BAJA",Q19=1),"MUY BAJA",IF(AND(E16="MEDIA",Q19=1),"BAJA",IF(AND(E16="ALTA",Q19=1),"MEDIA",IF(AND(E16="MUY ALTA",Q19=1),"ALTA",E16))))))))))</f>
        <v>MUY BAJA</v>
      </c>
      <c r="S16" s="80" t="str">
        <f>+CONCATENATE(R16," - ",F16)</f>
        <v>MUY BAJA - MODERADO</v>
      </c>
      <c r="T16" s="136" t="str">
        <f>+VLOOKUP(S16,[1]Datos!$D$3:$E$17,2,FALSE)</f>
        <v>MODERADO</v>
      </c>
      <c r="U16" s="176" t="s">
        <v>45</v>
      </c>
      <c r="V16" s="182" t="s">
        <v>152</v>
      </c>
      <c r="W16" s="183" t="s">
        <v>153</v>
      </c>
      <c r="X16" s="184" t="s">
        <v>154</v>
      </c>
      <c r="Y16" s="41"/>
      <c r="Z16" s="100">
        <v>45272</v>
      </c>
      <c r="AA16" s="185" t="s">
        <v>155</v>
      </c>
      <c r="AB16" s="185" t="s">
        <v>156</v>
      </c>
      <c r="AC16" s="161" t="s">
        <v>157</v>
      </c>
      <c r="AD16" s="166"/>
      <c r="AE16" s="1"/>
      <c r="AF16" s="75" t="s">
        <v>158</v>
      </c>
      <c r="AG16" s="186" t="s">
        <v>159</v>
      </c>
      <c r="AH16" s="1"/>
      <c r="AI16" s="1"/>
      <c r="AJ16" s="1"/>
    </row>
    <row r="17" spans="1:36" ht="55.5" customHeight="1" x14ac:dyDescent="0.25">
      <c r="A17" s="180"/>
      <c r="B17" s="98"/>
      <c r="C17" s="187"/>
      <c r="D17" s="187"/>
      <c r="E17" s="132"/>
      <c r="F17" s="134"/>
      <c r="G17" s="81"/>
      <c r="H17" s="137"/>
      <c r="I17" s="188"/>
      <c r="J17" s="8" t="s">
        <v>9</v>
      </c>
      <c r="K17" s="9" t="s">
        <v>132</v>
      </c>
      <c r="L17" s="10">
        <f>IF(K17="ADECUADO",15,IF(K17="INADECUADO",0,""))</f>
        <v>15</v>
      </c>
      <c r="M17" s="142"/>
      <c r="N17" s="144"/>
      <c r="O17" s="93"/>
      <c r="P17" s="91"/>
      <c r="Q17" s="175"/>
      <c r="R17" s="84"/>
      <c r="S17" s="81"/>
      <c r="T17" s="137"/>
      <c r="U17" s="177"/>
      <c r="V17" s="189"/>
      <c r="W17" s="190"/>
      <c r="X17" s="191"/>
      <c r="Y17" s="41"/>
      <c r="Z17" s="101"/>
      <c r="AA17" s="192"/>
      <c r="AB17" s="185"/>
      <c r="AC17" s="161"/>
      <c r="AD17" s="166"/>
      <c r="AE17" s="1"/>
      <c r="AF17" s="75"/>
      <c r="AG17" s="193"/>
      <c r="AH17" s="1"/>
      <c r="AI17" s="1"/>
      <c r="AJ17" s="1"/>
    </row>
    <row r="18" spans="1:36" ht="69" customHeight="1" x14ac:dyDescent="0.25">
      <c r="A18" s="180"/>
      <c r="B18" s="98"/>
      <c r="C18" s="187"/>
      <c r="D18" s="187"/>
      <c r="E18" s="132"/>
      <c r="F18" s="134"/>
      <c r="G18" s="81"/>
      <c r="H18" s="137"/>
      <c r="I18" s="188"/>
      <c r="J18" s="11" t="s">
        <v>16</v>
      </c>
      <c r="K18" s="9" t="s">
        <v>17</v>
      </c>
      <c r="L18" s="10">
        <f>IF(K18="OPORTUNA",15,IF(K18="INOPORTUNA",0,""))</f>
        <v>15</v>
      </c>
      <c r="M18" s="142"/>
      <c r="N18" s="144"/>
      <c r="O18" s="93"/>
      <c r="P18" s="91"/>
      <c r="Q18" s="12" t="s">
        <v>133</v>
      </c>
      <c r="R18" s="84"/>
      <c r="S18" s="81"/>
      <c r="T18" s="137"/>
      <c r="U18" s="177"/>
      <c r="V18" s="189"/>
      <c r="W18" s="190"/>
      <c r="X18" s="191"/>
      <c r="Y18" s="41"/>
      <c r="Z18" s="101"/>
      <c r="AA18" s="192"/>
      <c r="AB18" s="185"/>
      <c r="AC18" s="161"/>
      <c r="AD18" s="166"/>
      <c r="AE18" s="1"/>
      <c r="AF18" s="75"/>
      <c r="AG18" s="193"/>
      <c r="AH18" s="1"/>
      <c r="AI18" s="1"/>
      <c r="AJ18" s="1"/>
    </row>
    <row r="19" spans="1:36" ht="86.25" customHeight="1" x14ac:dyDescent="0.25">
      <c r="A19" s="180"/>
      <c r="B19" s="98"/>
      <c r="C19" s="187"/>
      <c r="D19" s="187"/>
      <c r="E19" s="132"/>
      <c r="F19" s="134"/>
      <c r="G19" s="81"/>
      <c r="H19" s="137"/>
      <c r="I19" s="188"/>
      <c r="J19" s="8" t="s">
        <v>23</v>
      </c>
      <c r="K19" s="9" t="s">
        <v>134</v>
      </c>
      <c r="L19" s="10">
        <f>IF(K19="PREVENIR",15,IF(K19="DETECTAR",10,IF(K19="NO ES UN CONTROL",0,"")))</f>
        <v>15</v>
      </c>
      <c r="M19" s="146" t="str">
        <f>IF(M16&lt;86,"DÉBIL",IF(M16&lt;96,"MODERADO",IF(M16&lt;101,"FUERTE","")))</f>
        <v>FUERTE</v>
      </c>
      <c r="N19" s="144"/>
      <c r="O19" s="170" t="str">
        <f>IF(AND(M19="FUERTE",N16="FUERTE (SIEMPRE SE EJECUTA)"),"FUERTE",IF(OR(M19="DÉBIL",N16="DÉBIL (NO SE EJECUTA)"),"DÉBIL",IF(OR(M19="MODERADO",N16="MODERADO (ALGUNAS VECES)"),"MODERADO")))</f>
        <v>FUERTE</v>
      </c>
      <c r="P19" s="91"/>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84"/>
      <c r="S19" s="81"/>
      <c r="T19" s="137"/>
      <c r="U19" s="177"/>
      <c r="V19" s="157" t="s">
        <v>55</v>
      </c>
      <c r="W19" s="190"/>
      <c r="X19" s="157" t="s">
        <v>135</v>
      </c>
      <c r="Y19" s="42"/>
      <c r="Z19" s="101"/>
      <c r="AA19" s="192"/>
      <c r="AB19" s="185"/>
      <c r="AC19" s="161"/>
      <c r="AD19" s="166"/>
      <c r="AE19" s="1"/>
      <c r="AF19" s="75"/>
      <c r="AG19" s="193"/>
      <c r="AH19" s="1"/>
      <c r="AI19" s="1"/>
      <c r="AJ19" s="1"/>
    </row>
    <row r="20" spans="1:36" ht="75.75" customHeight="1" x14ac:dyDescent="0.25">
      <c r="A20" s="180"/>
      <c r="B20" s="98"/>
      <c r="C20" s="187"/>
      <c r="D20" s="187"/>
      <c r="E20" s="132"/>
      <c r="F20" s="134"/>
      <c r="G20" s="81"/>
      <c r="H20" s="137"/>
      <c r="I20" s="188"/>
      <c r="J20" s="8" t="s">
        <v>29</v>
      </c>
      <c r="K20" s="9" t="s">
        <v>136</v>
      </c>
      <c r="L20" s="10">
        <f>IF(K20="CONFIABLE",15,IF(K20="NO CONFIABLE",0,""))</f>
        <v>15</v>
      </c>
      <c r="M20" s="147"/>
      <c r="N20" s="144"/>
      <c r="O20" s="170"/>
      <c r="P20" s="91"/>
      <c r="Q20" s="173"/>
      <c r="R20" s="84"/>
      <c r="S20" s="81"/>
      <c r="T20" s="137"/>
      <c r="U20" s="177"/>
      <c r="V20" s="158"/>
      <c r="W20" s="190"/>
      <c r="X20" s="158"/>
      <c r="Y20" s="42"/>
      <c r="Z20" s="101"/>
      <c r="AA20" s="192"/>
      <c r="AB20" s="185"/>
      <c r="AC20" s="161"/>
      <c r="AD20" s="166"/>
      <c r="AE20" s="1"/>
      <c r="AF20" s="75"/>
      <c r="AG20" s="193"/>
      <c r="AH20" s="1"/>
      <c r="AI20" s="1"/>
      <c r="AJ20" s="1"/>
    </row>
    <row r="21" spans="1:36" ht="66.75" customHeight="1" x14ac:dyDescent="0.25">
      <c r="A21" s="180"/>
      <c r="B21" s="98"/>
      <c r="C21" s="187"/>
      <c r="D21" s="187"/>
      <c r="E21" s="132"/>
      <c r="F21" s="134"/>
      <c r="G21" s="81"/>
      <c r="H21" s="137"/>
      <c r="I21" s="188"/>
      <c r="J21" s="8" t="s">
        <v>34</v>
      </c>
      <c r="K21" s="9" t="s">
        <v>137</v>
      </c>
      <c r="L21" s="10">
        <f>IF(K21="SE INVESTIGAN Y SE RESUELVEN OPORTUNAMENTE",15,IF(K21="NO SE INVESTIGAN Y SE RESUELVEN OPORTUNAMENTE",0,""))</f>
        <v>15</v>
      </c>
      <c r="M21" s="147"/>
      <c r="N21" s="144"/>
      <c r="O21" s="170"/>
      <c r="P21" s="91"/>
      <c r="Q21" s="173"/>
      <c r="R21" s="84"/>
      <c r="S21" s="81"/>
      <c r="T21" s="137"/>
      <c r="U21" s="177"/>
      <c r="V21" s="194" t="s">
        <v>60</v>
      </c>
      <c r="W21" s="190"/>
      <c r="X21" s="183" t="s">
        <v>160</v>
      </c>
      <c r="Y21" s="41"/>
      <c r="Z21" s="101"/>
      <c r="AA21" s="192"/>
      <c r="AB21" s="185"/>
      <c r="AC21" s="161"/>
      <c r="AD21" s="166"/>
      <c r="AE21" s="1"/>
      <c r="AF21" s="75"/>
      <c r="AG21" s="193"/>
      <c r="AH21" s="1"/>
      <c r="AI21" s="1"/>
      <c r="AJ21" s="1"/>
    </row>
    <row r="22" spans="1:36" ht="51" customHeight="1" thickBot="1" x14ac:dyDescent="0.3">
      <c r="A22" s="195"/>
      <c r="B22" s="99"/>
      <c r="C22" s="196"/>
      <c r="D22" s="196"/>
      <c r="E22" s="133"/>
      <c r="F22" s="135"/>
      <c r="G22" s="82"/>
      <c r="H22" s="138"/>
      <c r="I22" s="197"/>
      <c r="J22" s="36" t="s">
        <v>38</v>
      </c>
      <c r="K22" s="37" t="s">
        <v>139</v>
      </c>
      <c r="L22" s="38">
        <f>IF(K22="COMPLETA",10,IF(K22="INCOMPLETA",5,IF(K22="NO EXISTE",0,"")))</f>
        <v>10</v>
      </c>
      <c r="M22" s="148"/>
      <c r="N22" s="145"/>
      <c r="O22" s="171"/>
      <c r="P22" s="92"/>
      <c r="Q22" s="174"/>
      <c r="R22" s="85"/>
      <c r="S22" s="82"/>
      <c r="T22" s="138"/>
      <c r="U22" s="178"/>
      <c r="V22" s="198"/>
      <c r="W22" s="199"/>
      <c r="X22" s="199"/>
      <c r="Y22" s="41"/>
      <c r="Z22" s="102"/>
      <c r="AA22" s="200"/>
      <c r="AB22" s="201"/>
      <c r="AC22" s="162"/>
      <c r="AD22" s="167"/>
      <c r="AE22" s="1"/>
      <c r="AF22" s="202"/>
      <c r="AG22" s="203"/>
      <c r="AH22" s="1"/>
      <c r="AI22" s="1"/>
      <c r="AJ22" s="1"/>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94" priority="4" operator="containsText" text="EXTREMO">
      <formula>NOT(ISERROR(SEARCH("EXTREMO",H16)))</formula>
    </cfRule>
    <cfRule type="containsText" dxfId="93" priority="5" operator="containsText" text="ALTO">
      <formula>NOT(ISERROR(SEARCH("ALTO",H16)))</formula>
    </cfRule>
    <cfRule type="containsText" dxfId="92" priority="6" operator="containsText" text="MODERADO">
      <formula>NOT(ISERROR(SEARCH("MODERADO",H16)))</formula>
    </cfRule>
  </conditionalFormatting>
  <conditionalFormatting sqref="T16:T22">
    <cfRule type="containsText" dxfId="91" priority="1" operator="containsText" text="EXTREMO">
      <formula>NOT(ISERROR(SEARCH("EXTREMO",T16)))</formula>
    </cfRule>
    <cfRule type="containsText" dxfId="90" priority="2" operator="containsText" text="ALTO">
      <formula>NOT(ISERROR(SEARCH("ALTO",T16)))</formula>
    </cfRule>
    <cfRule type="containsText" dxfId="89" priority="3" operator="containsText" text="MODERADO">
      <formula>NOT(ISERROR(SEARCH("MODERADO",T16)))</formula>
    </cfRule>
  </conditionalFormatting>
  <dataValidations count="2">
    <dataValidation type="list" allowBlank="1" showInputMessage="1" showErrorMessage="1" sqref="N16">
      <formula1>$AE$14:$AF$14</formula1>
    </dataValidation>
    <dataValidation type="list" allowBlank="1" showInputMessage="1" showErrorMessage="1" sqref="Q16:Q17">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'C:\Users\caguerra\Downloads\[Mapa de Riesgos de Corrupción 2023 - Servicio a la Ciudadanía III Seguimiento.xlsx]Datos'!#REF!</xm:f>
          </x14:formula1>
          <xm:sqref>V21:V22</xm:sqref>
        </x14:dataValidation>
        <x14:dataValidation type="list" allowBlank="1" showInputMessage="1" showErrorMessage="1">
          <x14:formula1>
            <xm:f>'C:\Users\caguerra\Downloads\[Mapa de Riesgos de Corrupción 2023 - Servicio a la Ciudadanía III Seguimiento.xlsx]Datos'!#REF!</xm:f>
          </x14:formula1>
          <xm:sqref>K18</xm:sqref>
        </x14:dataValidation>
        <x14:dataValidation type="list" allowBlank="1" showInputMessage="1" showErrorMessage="1">
          <x14:formula1>
            <xm:f>'C:\Users\caguerra\Downloads\[Mapa de Riesgos de Corrupción 2023 - Servicio a la Ciudadanía III Seguimiento.xlsx]Datos'!#REF!</xm:f>
          </x14:formula1>
          <xm:sqref>E16</xm:sqref>
        </x14:dataValidation>
        <x14:dataValidation type="list" allowBlank="1" showInputMessage="1" showErrorMessage="1">
          <x14:formula1>
            <xm:f>'C:\Users\caguerra\Downloads\[Mapa de Riesgos de Corrupción 2023 - Servicio a la Ciudadanía III Seguimiento.xlsx]Datos'!#REF!</xm:f>
          </x14:formula1>
          <xm:sqref>F16:F22</xm:sqref>
        </x14:dataValidation>
        <x14:dataValidation type="list" allowBlank="1" showInputMessage="1" showErrorMessage="1">
          <x14:formula1>
            <xm:f>'C:\Users\caguerra\Downloads\[Mapa de Riesgos de Corrupción 2023 - Servicio a la Ciudadanía III Seguimiento.xlsx]Datos'!#REF!</xm:f>
          </x14:formula1>
          <xm:sqref>K22</xm:sqref>
        </x14:dataValidation>
        <x14:dataValidation type="list" allowBlank="1" showInputMessage="1" showErrorMessage="1">
          <x14:formula1>
            <xm:f>'C:\Users\caguerra\Downloads\[Mapa de Riesgos de Corrupción 2023 - Servicio a la Ciudadanía III Seguimiento.xlsx]Datos'!#REF!</xm:f>
          </x14:formula1>
          <xm:sqref>K16</xm:sqref>
        </x14:dataValidation>
        <x14:dataValidation type="list" allowBlank="1" showInputMessage="1" showErrorMessage="1">
          <x14:formula1>
            <xm:f>'C:\Users\caguerra\Downloads\[Mapa de Riesgos de Corrupción 2023 - Servicio a la Ciudadanía III Seguimiento.xlsx]Datos'!#REF!</xm:f>
          </x14:formula1>
          <xm:sqref>K17</xm:sqref>
        </x14:dataValidation>
        <x14:dataValidation type="list" allowBlank="1" showInputMessage="1" showErrorMessage="1">
          <x14:formula1>
            <xm:f>'C:\Users\caguerra\Downloads\[Mapa de Riesgos de Corrupción 2023 - Servicio a la Ciudadanía III Seguimiento.xlsx]Datos'!#REF!</xm:f>
          </x14:formula1>
          <xm:sqref>K20</xm:sqref>
        </x14:dataValidation>
        <x14:dataValidation type="list" allowBlank="1" showInputMessage="1" showErrorMessage="1">
          <x14:formula1>
            <xm:f>'C:\Users\caguerra\Downloads\[Mapa de Riesgos de Corrupción 2023 - Servicio a la Ciudadanía III Seguimiento.xlsx]Datos'!#REF!</xm:f>
          </x14:formula1>
          <xm:sqref>K21</xm:sqref>
        </x14:dataValidation>
        <x14:dataValidation type="list" allowBlank="1" showInputMessage="1" showErrorMessage="1">
          <x14:formula1>
            <xm:f>'C:\Users\caguerra\Downloads\[Mapa de Riesgos de Corrupción 2023 - Servicio a la Ciudadanía III Seguimiento.xlsx]Datos'!#REF!</xm:f>
          </x14:formula1>
          <xm:sqref>U16:U22</xm:sqref>
        </x14:dataValidation>
        <x14:dataValidation type="list" allowBlank="1" showInputMessage="1" showErrorMessage="1">
          <x14:formula1>
            <xm:f>'C:\Users\caguerra\Downloads\[Mapa de Riesgos de Corrupción 2023 - Servicio a la Ciudadanía III Seguimiento.xlsx]Datos'!#REF!</xm:f>
          </x14:formula1>
          <xm:sqref>K19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33"/>
  <sheetViews>
    <sheetView showGridLines="0" topLeftCell="AJ18" zoomScale="70" zoomScaleNormal="70" zoomScaleSheetLayoutView="90" workbookViewId="0">
      <selection activeCell="AP17" sqref="AP17:AP21"/>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234" customWidth="1"/>
    <col min="13" max="13" width="9.42578125" style="234" customWidth="1"/>
    <col min="14" max="14" width="26.85546875" style="234" customWidth="1"/>
    <col min="15" max="15" width="11.28515625" style="234" customWidth="1"/>
    <col min="16" max="16" width="1.28515625" style="234" customWidth="1"/>
    <col min="17" max="17" width="30" style="234" customWidth="1"/>
    <col min="18" max="18" width="46.7109375" style="234" customWidth="1"/>
    <col min="19" max="19" width="15.85546875" style="234" customWidth="1"/>
    <col min="20" max="22" width="5.140625" style="234" customWidth="1"/>
    <col min="23" max="25" width="12.5703125" style="234" customWidth="1"/>
    <col min="26" max="27" width="7.28515625" style="234" customWidth="1"/>
    <col min="28" max="28" width="10.42578125" style="234" customWidth="1"/>
    <col min="29" max="29" width="8" style="234" customWidth="1"/>
    <col min="30" max="31" width="7.28515625" style="234" customWidth="1"/>
    <col min="32" max="32" width="9.28515625" style="234" customWidth="1"/>
    <col min="33" max="33" width="8.5703125" style="473" customWidth="1"/>
    <col min="34" max="34" width="1" style="473" customWidth="1"/>
    <col min="35" max="35" width="26.85546875" style="473" customWidth="1"/>
    <col min="36" max="36" width="26.7109375" style="234" customWidth="1"/>
    <col min="37" max="37" width="20.85546875" style="234" customWidth="1"/>
    <col min="38" max="38" width="1" customWidth="1"/>
    <col min="39" max="39" width="18.28515625" customWidth="1"/>
    <col min="40" max="41" width="45" customWidth="1"/>
    <col min="42" max="42" width="69.28515625" customWidth="1"/>
    <col min="43" max="43" width="45" customWidth="1"/>
    <col min="44" max="44" width="1" customWidth="1"/>
    <col min="45" max="46" width="45" customWidth="1"/>
  </cols>
  <sheetData>
    <row r="1" spans="1:46" ht="15.75" customHeight="1" x14ac:dyDescent="0.25">
      <c r="A1" s="204"/>
      <c r="B1" s="205"/>
      <c r="C1" s="206" t="s">
        <v>161</v>
      </c>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8"/>
      <c r="AQ1" s="204" t="s">
        <v>62</v>
      </c>
      <c r="AR1" s="205"/>
      <c r="AS1" s="209" t="s">
        <v>162</v>
      </c>
      <c r="AT1" s="210"/>
    </row>
    <row r="2" spans="1:46" ht="15.75" customHeight="1" thickBot="1" x14ac:dyDescent="0.3">
      <c r="A2" s="211"/>
      <c r="B2" s="212"/>
      <c r="C2" s="213"/>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5"/>
      <c r="AQ2" s="216"/>
      <c r="AR2" s="217"/>
      <c r="AS2" s="218"/>
      <c r="AT2" s="219"/>
    </row>
    <row r="3" spans="1:46" ht="15.75" customHeight="1" x14ac:dyDescent="0.25">
      <c r="A3" s="211"/>
      <c r="B3" s="212"/>
      <c r="C3" s="213"/>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5"/>
      <c r="AQ3" s="204" t="s">
        <v>64</v>
      </c>
      <c r="AR3" s="205"/>
      <c r="AS3" s="220" t="s">
        <v>163</v>
      </c>
      <c r="AT3" s="221"/>
    </row>
    <row r="4" spans="1:46" ht="16.5" customHeight="1" thickBot="1" x14ac:dyDescent="0.3">
      <c r="A4" s="211"/>
      <c r="B4" s="212"/>
      <c r="C4" s="222"/>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4"/>
      <c r="AQ4" s="216"/>
      <c r="AR4" s="217"/>
      <c r="AS4" s="225"/>
      <c r="AT4" s="226"/>
    </row>
    <row r="5" spans="1:46" ht="20.45" customHeight="1" x14ac:dyDescent="0.25">
      <c r="A5" s="211"/>
      <c r="B5" s="212"/>
      <c r="C5" s="213" t="s">
        <v>164</v>
      </c>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5"/>
      <c r="AQ5" s="204" t="s">
        <v>67</v>
      </c>
      <c r="AR5" s="205"/>
      <c r="AS5" s="204" t="s">
        <v>165</v>
      </c>
      <c r="AT5" s="205"/>
    </row>
    <row r="6" spans="1:46" ht="15" customHeight="1" thickBot="1" x14ac:dyDescent="0.3">
      <c r="A6" s="211"/>
      <c r="B6" s="212"/>
      <c r="C6" s="213"/>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5"/>
      <c r="AQ6" s="216"/>
      <c r="AR6" s="217"/>
      <c r="AS6" s="216"/>
      <c r="AT6" s="217"/>
    </row>
    <row r="7" spans="1:46" ht="15.75" customHeight="1" x14ac:dyDescent="0.25">
      <c r="A7" s="211"/>
      <c r="B7" s="212"/>
      <c r="C7" s="213"/>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5"/>
      <c r="AQ7" s="204" t="s">
        <v>69</v>
      </c>
      <c r="AR7" s="205"/>
      <c r="AS7" s="227">
        <v>45203</v>
      </c>
      <c r="AT7" s="210"/>
    </row>
    <row r="8" spans="1:46" ht="16.5" customHeight="1" thickBot="1" x14ac:dyDescent="0.3">
      <c r="A8" s="216"/>
      <c r="B8" s="217"/>
      <c r="C8" s="222"/>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4"/>
      <c r="AQ8" s="216"/>
      <c r="AR8" s="217"/>
      <c r="AS8" s="218"/>
      <c r="AT8" s="219"/>
    </row>
    <row r="10" spans="1:46" ht="54" customHeight="1" x14ac:dyDescent="0.25">
      <c r="A10" s="228" t="s">
        <v>166</v>
      </c>
      <c r="B10" s="228"/>
      <c r="C10" s="228"/>
      <c r="D10" s="229" t="s">
        <v>167</v>
      </c>
      <c r="E10" s="230"/>
      <c r="F10" s="230"/>
      <c r="G10" s="230"/>
      <c r="H10" s="230"/>
      <c r="I10" s="230"/>
      <c r="J10" s="230"/>
      <c r="K10" s="230"/>
      <c r="L10" s="230"/>
      <c r="M10" s="231"/>
      <c r="N10" s="232"/>
      <c r="O10" s="233"/>
      <c r="P10" s="233"/>
      <c r="Q10" s="233"/>
      <c r="R10" s="233"/>
      <c r="AG10" s="234"/>
      <c r="AH10" s="234"/>
      <c r="AI10" s="234"/>
    </row>
    <row r="11" spans="1:46" s="241" customFormat="1" ht="99.75" customHeight="1" x14ac:dyDescent="0.25">
      <c r="A11" s="228" t="s">
        <v>168</v>
      </c>
      <c r="B11" s="228"/>
      <c r="C11" s="228"/>
      <c r="D11" s="235" t="s">
        <v>169</v>
      </c>
      <c r="E11" s="236"/>
      <c r="F11" s="236"/>
      <c r="G11" s="236"/>
      <c r="H11" s="236"/>
      <c r="I11" s="236"/>
      <c r="J11" s="236"/>
      <c r="K11" s="236"/>
      <c r="L11" s="236"/>
      <c r="M11" s="237"/>
      <c r="N11" s="238"/>
      <c r="O11" s="239"/>
      <c r="P11" s="239"/>
      <c r="Q11" s="239"/>
      <c r="R11" s="239"/>
      <c r="S11" s="240"/>
      <c r="T11" s="240"/>
      <c r="U11" s="240"/>
      <c r="V11" s="240"/>
      <c r="W11" s="240"/>
      <c r="X11" s="240"/>
      <c r="Y11" s="240"/>
      <c r="Z11" s="240"/>
      <c r="AA11" s="240"/>
      <c r="AB11" s="240"/>
      <c r="AC11" s="240"/>
      <c r="AD11" s="240"/>
      <c r="AE11" s="240"/>
      <c r="AF11" s="240"/>
      <c r="AG11" s="240"/>
      <c r="AH11" s="240"/>
      <c r="AI11" s="240"/>
      <c r="AJ11" s="240"/>
      <c r="AK11" s="240"/>
    </row>
    <row r="12" spans="1:46" s="241" customFormat="1" ht="75" customHeight="1" x14ac:dyDescent="0.25">
      <c r="A12" s="228" t="s">
        <v>170</v>
      </c>
      <c r="B12" s="228"/>
      <c r="C12" s="228"/>
      <c r="D12" s="235" t="s">
        <v>171</v>
      </c>
      <c r="E12" s="242"/>
      <c r="F12" s="242"/>
      <c r="G12" s="242"/>
      <c r="H12" s="242"/>
      <c r="I12" s="242"/>
      <c r="J12" s="242"/>
      <c r="K12" s="242"/>
      <c r="L12" s="242"/>
      <c r="M12" s="243"/>
      <c r="N12" s="238"/>
      <c r="O12" s="239"/>
      <c r="P12" s="239"/>
      <c r="Q12" s="239"/>
      <c r="R12" s="239"/>
      <c r="S12" s="240"/>
      <c r="T12" s="240"/>
      <c r="U12" s="240"/>
      <c r="V12" s="240"/>
      <c r="W12" s="240"/>
      <c r="X12" s="240"/>
      <c r="Y12" s="240"/>
      <c r="Z12" s="240"/>
      <c r="AA12" s="240"/>
      <c r="AB12" s="240"/>
      <c r="AC12" s="240"/>
      <c r="AD12" s="240"/>
      <c r="AE12" s="240"/>
      <c r="AF12" s="240"/>
      <c r="AG12" s="240"/>
      <c r="AH12" s="240"/>
      <c r="AI12" s="240"/>
      <c r="AJ12" s="240"/>
      <c r="AK12" s="240"/>
    </row>
    <row r="13" spans="1:46" s="241" customFormat="1" ht="24.75" customHeight="1" thickBot="1" x14ac:dyDescent="0.3">
      <c r="A13" s="244"/>
      <c r="B13" s="244"/>
      <c r="C13" s="244"/>
      <c r="D13" s="244"/>
      <c r="E13" s="244"/>
      <c r="F13" s="244"/>
      <c r="G13" s="244"/>
      <c r="H13" s="244"/>
      <c r="I13" s="244"/>
      <c r="J13" s="244"/>
      <c r="K13" s="244"/>
      <c r="L13" s="244"/>
      <c r="M13" s="244"/>
      <c r="N13" s="244"/>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row>
    <row r="14" spans="1:46" s="241" customFormat="1" ht="24.75" customHeight="1" x14ac:dyDescent="0.25">
      <c r="A14" s="245" t="s">
        <v>81</v>
      </c>
      <c r="B14" s="246"/>
      <c r="C14" s="246"/>
      <c r="D14" s="246"/>
      <c r="E14" s="246"/>
      <c r="F14" s="246"/>
      <c r="G14" s="246"/>
      <c r="H14" s="246"/>
      <c r="I14" s="246"/>
      <c r="J14" s="246"/>
      <c r="K14" s="246"/>
      <c r="L14" s="246"/>
      <c r="M14" s="246"/>
      <c r="N14" s="247"/>
      <c r="O14" s="248"/>
      <c r="P14" s="240"/>
      <c r="Q14" s="249" t="s">
        <v>82</v>
      </c>
      <c r="R14" s="250"/>
      <c r="S14" s="250"/>
      <c r="T14" s="251"/>
      <c r="U14" s="251"/>
      <c r="V14" s="251"/>
      <c r="W14" s="251"/>
      <c r="X14" s="251"/>
      <c r="Y14" s="251"/>
      <c r="Z14" s="250"/>
      <c r="AA14" s="250"/>
      <c r="AB14" s="250"/>
      <c r="AC14" s="250"/>
      <c r="AD14" s="250"/>
      <c r="AE14" s="250"/>
      <c r="AF14" s="250"/>
      <c r="AG14" s="252"/>
      <c r="AH14" s="240"/>
      <c r="AI14" s="253" t="s">
        <v>172</v>
      </c>
      <c r="AJ14" s="254"/>
      <c r="AK14" s="255"/>
      <c r="AM14" s="253" t="s">
        <v>83</v>
      </c>
      <c r="AN14" s="254"/>
      <c r="AO14" s="254"/>
      <c r="AP14" s="254"/>
      <c r="AQ14" s="254"/>
      <c r="AR14" s="1"/>
      <c r="AS14" s="253" t="s">
        <v>84</v>
      </c>
      <c r="AT14" s="255"/>
    </row>
    <row r="15" spans="1:46" x14ac:dyDescent="0.25">
      <c r="A15" s="256"/>
      <c r="B15" s="257"/>
      <c r="C15" s="257"/>
      <c r="D15" s="257"/>
      <c r="E15" s="257"/>
      <c r="F15" s="257"/>
      <c r="G15" s="257"/>
      <c r="H15" s="257"/>
      <c r="I15" s="257"/>
      <c r="J15" s="257"/>
      <c r="K15" s="257"/>
      <c r="L15" s="257"/>
      <c r="M15" s="257"/>
      <c r="N15" s="258"/>
      <c r="O15" s="259"/>
      <c r="P15" s="240"/>
      <c r="Q15" s="260"/>
      <c r="R15" s="261"/>
      <c r="S15" s="261"/>
      <c r="T15" s="262" t="s">
        <v>173</v>
      </c>
      <c r="U15" s="262"/>
      <c r="V15" s="262"/>
      <c r="W15" s="262"/>
      <c r="X15" s="262"/>
      <c r="Y15" s="262"/>
      <c r="Z15" s="263"/>
      <c r="AA15" s="263"/>
      <c r="AB15" s="263"/>
      <c r="AC15" s="263"/>
      <c r="AD15" s="263"/>
      <c r="AE15" s="263"/>
      <c r="AF15" s="263"/>
      <c r="AG15" s="264"/>
      <c r="AH15" s="240"/>
      <c r="AI15" s="265"/>
      <c r="AJ15" s="266"/>
      <c r="AK15" s="267"/>
      <c r="AM15" s="265"/>
      <c r="AN15" s="266"/>
      <c r="AO15" s="266"/>
      <c r="AP15" s="266"/>
      <c r="AQ15" s="266"/>
      <c r="AR15" s="1"/>
      <c r="AS15" s="265"/>
      <c r="AT15" s="267"/>
    </row>
    <row r="16" spans="1:46" s="282" customFormat="1" ht="106.5" customHeight="1" thickBot="1" x14ac:dyDescent="0.3">
      <c r="A16" s="268" t="s">
        <v>174</v>
      </c>
      <c r="B16" s="269" t="s">
        <v>175</v>
      </c>
      <c r="C16" s="270" t="s">
        <v>176</v>
      </c>
      <c r="D16" s="270" t="s">
        <v>177</v>
      </c>
      <c r="E16" s="271" t="s">
        <v>178</v>
      </c>
      <c r="F16" s="272" t="s">
        <v>179</v>
      </c>
      <c r="G16" s="273" t="s">
        <v>180</v>
      </c>
      <c r="H16" s="271" t="s">
        <v>181</v>
      </c>
      <c r="I16" s="270" t="s">
        <v>182</v>
      </c>
      <c r="J16" s="270" t="s">
        <v>183</v>
      </c>
      <c r="K16" s="271" t="s">
        <v>184</v>
      </c>
      <c r="L16" s="271" t="s">
        <v>185</v>
      </c>
      <c r="M16" s="270" t="s">
        <v>182</v>
      </c>
      <c r="N16" s="270" t="s">
        <v>186</v>
      </c>
      <c r="O16" s="274" t="s">
        <v>187</v>
      </c>
      <c r="P16" s="240"/>
      <c r="Q16" s="275" t="s">
        <v>188</v>
      </c>
      <c r="R16" s="276" t="s">
        <v>189</v>
      </c>
      <c r="S16" s="277" t="s">
        <v>190</v>
      </c>
      <c r="T16" s="278" t="s">
        <v>191</v>
      </c>
      <c r="U16" s="278" t="s">
        <v>192</v>
      </c>
      <c r="V16" s="278" t="s">
        <v>193</v>
      </c>
      <c r="W16" s="278" t="s">
        <v>194</v>
      </c>
      <c r="X16" s="278" t="s">
        <v>195</v>
      </c>
      <c r="Y16" s="278" t="s">
        <v>196</v>
      </c>
      <c r="Z16" s="279" t="s">
        <v>197</v>
      </c>
      <c r="AA16" s="279" t="s">
        <v>198</v>
      </c>
      <c r="AB16" s="279" t="s">
        <v>182</v>
      </c>
      <c r="AC16" s="279" t="s">
        <v>199</v>
      </c>
      <c r="AD16" s="279" t="s">
        <v>182</v>
      </c>
      <c r="AE16" s="279" t="s">
        <v>186</v>
      </c>
      <c r="AF16" s="279" t="s">
        <v>200</v>
      </c>
      <c r="AG16" s="274" t="s">
        <v>201</v>
      </c>
      <c r="AH16" s="240"/>
      <c r="AI16" s="280" t="s">
        <v>202</v>
      </c>
      <c r="AJ16" s="276" t="s">
        <v>203</v>
      </c>
      <c r="AK16" s="281" t="s">
        <v>204</v>
      </c>
      <c r="AM16" s="283" t="s">
        <v>205</v>
      </c>
      <c r="AN16" s="283" t="s">
        <v>206</v>
      </c>
      <c r="AO16" s="283" t="s">
        <v>207</v>
      </c>
      <c r="AP16" s="283" t="s">
        <v>208</v>
      </c>
      <c r="AQ16" s="283" t="s">
        <v>209</v>
      </c>
      <c r="AR16" s="2"/>
      <c r="AS16" s="283" t="s">
        <v>115</v>
      </c>
      <c r="AT16" s="284" t="s">
        <v>210</v>
      </c>
    </row>
    <row r="17" spans="1:47" ht="225" customHeight="1" x14ac:dyDescent="0.25">
      <c r="A17" s="285">
        <v>1</v>
      </c>
      <c r="B17" s="286" t="s">
        <v>211</v>
      </c>
      <c r="C17" s="287" t="s">
        <v>212</v>
      </c>
      <c r="D17" s="287" t="s">
        <v>213</v>
      </c>
      <c r="E17" s="287" t="s">
        <v>214</v>
      </c>
      <c r="F17" s="288"/>
      <c r="G17" s="286">
        <v>365</v>
      </c>
      <c r="H17" s="289" t="str">
        <f>IF(G17&lt;=0,"",IF(G17&lt;=2,"Muy Baja",IF(G17&lt;=24,"Baja",IF(G17&lt;=500,"Media",IF(G17&lt;=5000,"Alta","Muy Alta")))))</f>
        <v>Media</v>
      </c>
      <c r="I17" s="290">
        <f>IF(H17="","",IF(H17="Muy Baja",0.2,IF(H17="Baja",0.4,IF(H17="Media",0.6,IF(H17="Alta",0.8,IF(H17="Muy Alta",1,))))))</f>
        <v>0.6</v>
      </c>
      <c r="J17" s="291" t="s">
        <v>215</v>
      </c>
      <c r="K17" s="292" t="str">
        <f>+J17</f>
        <v>El riesgo afecta la imagen de la entidad con algunos usuarios de relevancia frente al logro de los objetivos.</v>
      </c>
      <c r="L17" s="289" t="str">
        <f>+VLOOKUP(K17,[2]Datos!$O$4:$P$15,2,FALSE)</f>
        <v>Moderado</v>
      </c>
      <c r="M17" s="290">
        <f>IF(L17="","",IF(L17="Leve",0.2,IF(L17="Menor",0.4,IF(L17="Moderado",0.6,IF(L17="Mayor",0.8,IF(L17="Catastrófico",1,))))))</f>
        <v>0.6</v>
      </c>
      <c r="N17" s="293" t="str">
        <f>+CONCATENATE(H17, " - ", L17)</f>
        <v>Media - Moderado</v>
      </c>
      <c r="O17" s="294" t="str">
        <f>+VLOOKUP(N17,[2]Datos!J4:K28,2,)</f>
        <v>MODERADO</v>
      </c>
      <c r="P17" s="295"/>
      <c r="Q17" s="296">
        <v>1</v>
      </c>
      <c r="R17" s="297" t="s">
        <v>216</v>
      </c>
      <c r="S17" s="298" t="str">
        <f>IF(OR(T17="Preventivo",T17="Detectivo"),"Probabilidad",IF(T17="Correctivo","Impacto",""))</f>
        <v>Probabilidad</v>
      </c>
      <c r="T17" s="299" t="s">
        <v>217</v>
      </c>
      <c r="U17" s="299" t="s">
        <v>218</v>
      </c>
      <c r="V17" s="300" t="str">
        <f t="shared" ref="V17:V27" si="0">IF(AND(T17="Preventivo",U17="Automático"),"50%",IF(AND(T17="Preventivo",U17="Manual"),"40%",IF(AND(T17="Detectivo",U17="Automático"),"40%",IF(AND(T17="Detectivo",U17="Manual"),"30%",IF(AND(T17="Correctivo",U17="Automático"),"35%",IF(AND(T17="Correctivo",U17="Manual"),"25%",""))))))</f>
        <v>40%</v>
      </c>
      <c r="W17" s="301" t="s">
        <v>219</v>
      </c>
      <c r="X17" s="301" t="s">
        <v>220</v>
      </c>
      <c r="Y17" s="301" t="s">
        <v>221</v>
      </c>
      <c r="Z17" s="302">
        <f>IFERROR(IF(S17="Probabilidad",(I17-(+I17*V17)),IF(S17="Impacto",I17,"")),"")</f>
        <v>0.36</v>
      </c>
      <c r="AA17" s="303" t="str">
        <f t="shared" ref="AA17:AA27" si="1">IFERROR(IF(Z17="","",IF(Z17&lt;=0.2,"Muy Baja",IF(Z17&lt;=0.4,"Baja",IF(Z17&lt;=0.6,"Media",IF(Z17&lt;=0.8,"Alta","Muy Alta"))))),"")</f>
        <v>Baja</v>
      </c>
      <c r="AB17" s="304">
        <f t="shared" ref="AB17:AB27" si="2">+Z17</f>
        <v>0.36</v>
      </c>
      <c r="AC17" s="305" t="str">
        <f t="shared" ref="AC17:AC27" si="3">IFERROR(IF(AD17="","",IF(AD17&lt;=0.2,"Leve",IF(AD17&lt;=0.4,"Menor",IF(AD17&lt;=0.6,"Moderado",IF(AD17&lt;=0.8,"Mayor","Catastrófico"))))),"")</f>
        <v>Moderado</v>
      </c>
      <c r="AD17" s="302">
        <f>IFERROR(IF(S17="Impacto",(M17-(+M17*V17)),IF(S17="Probabilidad",M17,"")),"")</f>
        <v>0.6</v>
      </c>
      <c r="AE17" s="306" t="str">
        <f>+CONCATENATE(AA17, " - ", AC17)</f>
        <v>Baja - Moderado</v>
      </c>
      <c r="AF17" s="307" t="str">
        <f>+VLOOKUP(AE17,[2]Datos!$J$4:$K$28,2,)</f>
        <v>MODERADO</v>
      </c>
      <c r="AG17" s="308" t="s">
        <v>222</v>
      </c>
      <c r="AH17" s="295"/>
      <c r="AI17" s="309"/>
      <c r="AJ17" s="310"/>
      <c r="AK17" s="311"/>
      <c r="AM17" s="312">
        <v>45275</v>
      </c>
      <c r="AN17" s="313" t="s">
        <v>223</v>
      </c>
      <c r="AO17" s="313"/>
      <c r="AP17" s="314"/>
      <c r="AQ17" s="315"/>
      <c r="AR17" s="2"/>
      <c r="AS17" s="316" t="s">
        <v>224</v>
      </c>
      <c r="AT17" s="317" t="s">
        <v>225</v>
      </c>
      <c r="AU17" s="318"/>
    </row>
    <row r="18" spans="1:47" ht="225" customHeight="1" thickBot="1" x14ac:dyDescent="0.3">
      <c r="A18" s="319"/>
      <c r="B18" s="320"/>
      <c r="C18" s="321"/>
      <c r="D18" s="321"/>
      <c r="E18" s="321"/>
      <c r="F18" s="322"/>
      <c r="G18" s="320"/>
      <c r="H18" s="323"/>
      <c r="I18" s="324"/>
      <c r="J18" s="325"/>
      <c r="K18" s="326"/>
      <c r="L18" s="323"/>
      <c r="M18" s="324"/>
      <c r="N18" s="324"/>
      <c r="O18" s="327"/>
      <c r="P18" s="240"/>
      <c r="Q18" s="328">
        <v>2</v>
      </c>
      <c r="R18" s="329" t="s">
        <v>226</v>
      </c>
      <c r="S18" s="330" t="str">
        <f>IF(OR(T18="Preventivo",T18="Detectivo"),"Probabilidad",IF(T18="Correctivo","Impacto",""))</f>
        <v>Probabilidad</v>
      </c>
      <c r="T18" s="331" t="s">
        <v>217</v>
      </c>
      <c r="U18" s="331" t="s">
        <v>218</v>
      </c>
      <c r="V18" s="332" t="str">
        <f t="shared" si="0"/>
        <v>40%</v>
      </c>
      <c r="W18" s="331" t="s">
        <v>219</v>
      </c>
      <c r="X18" s="331" t="s">
        <v>227</v>
      </c>
      <c r="Y18" s="331" t="s">
        <v>228</v>
      </c>
      <c r="Z18" s="333">
        <f>IFERROR(IF(AND(S18="Probabilidad",S18="Probabilidad"),(AB17-(+AB17*V18)),IF(S18="Probabilidad",(I17-(+I17*V18)),IF(S18="Impacto",AB17,""))),"")</f>
        <v>0.216</v>
      </c>
      <c r="AA18" s="334" t="str">
        <f t="shared" si="1"/>
        <v>Baja</v>
      </c>
      <c r="AB18" s="335">
        <f t="shared" si="2"/>
        <v>0.216</v>
      </c>
      <c r="AC18" s="336" t="str">
        <f t="shared" si="3"/>
        <v>Moderado</v>
      </c>
      <c r="AD18" s="333">
        <f>IFERROR(IF(AND(S17="Impacto",S17="Impacto"),(AD17-(+AD17*V18)),IF(S18="Impacto",(M17-(+M17*V18)),IF(S18="Probabilidad",AD17,""))),"")</f>
        <v>0.6</v>
      </c>
      <c r="AE18" s="337" t="str">
        <f t="shared" ref="AE18:AE21" si="4">+CONCATENATE(AA18, " - ", AC18)</f>
        <v>Baja - Moderado</v>
      </c>
      <c r="AF18" s="338" t="str">
        <f>+VLOOKUP(AE18,[2]Datos!$J$4:$K$28,2,)</f>
        <v>MODERADO</v>
      </c>
      <c r="AG18" s="339"/>
      <c r="AH18" s="240"/>
      <c r="AI18" s="340"/>
      <c r="AJ18" s="341"/>
      <c r="AK18" s="342"/>
      <c r="AM18" s="343"/>
      <c r="AN18" s="344"/>
      <c r="AO18" s="344"/>
      <c r="AP18" s="345"/>
      <c r="AQ18" s="346"/>
      <c r="AR18" s="2"/>
      <c r="AS18" s="347"/>
      <c r="AT18" s="348"/>
    </row>
    <row r="19" spans="1:47" ht="225" customHeight="1" thickBot="1" x14ac:dyDescent="0.3">
      <c r="A19" s="319"/>
      <c r="B19" s="320"/>
      <c r="C19" s="321"/>
      <c r="D19" s="321"/>
      <c r="E19" s="321"/>
      <c r="F19" s="322"/>
      <c r="G19" s="320"/>
      <c r="H19" s="323"/>
      <c r="I19" s="324"/>
      <c r="J19" s="325"/>
      <c r="K19" s="326"/>
      <c r="L19" s="323"/>
      <c r="M19" s="324"/>
      <c r="N19" s="324"/>
      <c r="O19" s="327"/>
      <c r="P19" s="240"/>
      <c r="Q19" s="328">
        <v>3</v>
      </c>
      <c r="R19" s="349" t="s">
        <v>229</v>
      </c>
      <c r="S19" s="330" t="str">
        <f t="shared" ref="S19:S27" si="5">IF(OR(T19="Preventivo",T19="Detectivo"),"Probabilidad",IF(T19="Correctivo","Impacto",""))</f>
        <v>Probabilidad</v>
      </c>
      <c r="T19" s="331" t="s">
        <v>217</v>
      </c>
      <c r="U19" s="331" t="s">
        <v>218</v>
      </c>
      <c r="V19" s="332" t="str">
        <f t="shared" si="0"/>
        <v>40%</v>
      </c>
      <c r="W19" s="350" t="s">
        <v>230</v>
      </c>
      <c r="X19" s="331" t="s">
        <v>227</v>
      </c>
      <c r="Y19" s="331" t="s">
        <v>231</v>
      </c>
      <c r="Z19" s="333">
        <f>IFERROR(IF(AND(S19="Probabilidad",S19="Probabilidad"),(AB18-(+AB18*V19)),IF(S19="Probabilidad",(I17-(+I17*V19)),IF(S19="Impacto",AB18,""))),"")</f>
        <v>0.12959999999999999</v>
      </c>
      <c r="AA19" s="334" t="str">
        <f t="shared" si="1"/>
        <v>Muy Baja</v>
      </c>
      <c r="AB19" s="335">
        <f t="shared" si="2"/>
        <v>0.12959999999999999</v>
      </c>
      <c r="AC19" s="336" t="str">
        <f t="shared" si="3"/>
        <v>Moderado</v>
      </c>
      <c r="AD19" s="333">
        <f>IFERROR(IF(AND(S17="Impacto",S17="Impacto"),(AD17-(+AD17*V19)),IF(S19="Impacto",(M17-(+M17*V19)),IF(S19="Probabilidad",AD17,""))),"")</f>
        <v>0.6</v>
      </c>
      <c r="AE19" s="337" t="str">
        <f t="shared" si="4"/>
        <v>Muy Baja - Moderado</v>
      </c>
      <c r="AF19" s="338" t="str">
        <f>+VLOOKUP(AE19,[2]Datos!$J$4:$K$28,2,)</f>
        <v>MODERADO</v>
      </c>
      <c r="AG19" s="339"/>
      <c r="AH19" s="240"/>
      <c r="AI19" s="340"/>
      <c r="AJ19" s="341"/>
      <c r="AK19" s="342"/>
      <c r="AM19" s="343"/>
      <c r="AN19" s="344"/>
      <c r="AO19" s="344"/>
      <c r="AP19" s="345"/>
      <c r="AQ19" s="346"/>
      <c r="AR19" s="2"/>
      <c r="AS19" s="347"/>
      <c r="AT19" s="351" t="s">
        <v>232</v>
      </c>
    </row>
    <row r="20" spans="1:47" ht="225" customHeight="1" thickBot="1" x14ac:dyDescent="0.3">
      <c r="A20" s="319"/>
      <c r="B20" s="320"/>
      <c r="C20" s="321"/>
      <c r="D20" s="321"/>
      <c r="E20" s="321"/>
      <c r="F20" s="322"/>
      <c r="G20" s="320"/>
      <c r="H20" s="323"/>
      <c r="I20" s="324"/>
      <c r="J20" s="325"/>
      <c r="K20" s="326"/>
      <c r="L20" s="323"/>
      <c r="M20" s="324"/>
      <c r="N20" s="324"/>
      <c r="O20" s="327"/>
      <c r="P20" s="240"/>
      <c r="Q20" s="328">
        <v>4</v>
      </c>
      <c r="R20" s="349" t="s">
        <v>233</v>
      </c>
      <c r="S20" s="330" t="str">
        <f t="shared" si="5"/>
        <v>Impacto</v>
      </c>
      <c r="T20" s="331" t="s">
        <v>234</v>
      </c>
      <c r="U20" s="331" t="s">
        <v>218</v>
      </c>
      <c r="V20" s="332" t="str">
        <f t="shared" si="0"/>
        <v>25%</v>
      </c>
      <c r="W20" s="352" t="s">
        <v>235</v>
      </c>
      <c r="X20" s="331" t="s">
        <v>236</v>
      </c>
      <c r="Y20" s="331" t="s">
        <v>237</v>
      </c>
      <c r="Z20" s="333">
        <f>IFERROR(IF(AND(S19="Probabilidad",S20="Probabilidad"),(AB19-(+AB19*V20)),IF(S20="Probabilidad",(I17-(+I17*V20)),IF(S20="Impacto",AB19,""))),"")</f>
        <v>0.12959999999999999</v>
      </c>
      <c r="AA20" s="334" t="str">
        <f t="shared" si="1"/>
        <v>Muy Baja</v>
      </c>
      <c r="AB20" s="335">
        <f t="shared" si="2"/>
        <v>0.12959999999999999</v>
      </c>
      <c r="AC20" s="336" t="str">
        <f t="shared" si="3"/>
        <v>Moderado</v>
      </c>
      <c r="AD20" s="333">
        <f>IFERROR(IF(AND(S17="Impacto",S17="Impacto"),(AD17-(+AD17*V20)),IF(S20="Impacto",(M17-(+M17*V20)),IF(S20="Probabilidad",AD17,""))),"")</f>
        <v>0.44999999999999996</v>
      </c>
      <c r="AE20" s="337" t="str">
        <f t="shared" si="4"/>
        <v>Muy Baja - Moderado</v>
      </c>
      <c r="AF20" s="338" t="str">
        <f>+VLOOKUP(AE20,[2]Datos!$J$4:$K$28,2,)</f>
        <v>MODERADO</v>
      </c>
      <c r="AG20" s="339"/>
      <c r="AH20" s="240"/>
      <c r="AI20" s="340"/>
      <c r="AJ20" s="341"/>
      <c r="AK20" s="342"/>
      <c r="AM20" s="343"/>
      <c r="AN20" s="344"/>
      <c r="AO20" s="344"/>
      <c r="AP20" s="345"/>
      <c r="AQ20" s="346"/>
      <c r="AR20" s="2"/>
      <c r="AS20" s="347"/>
      <c r="AT20" s="351" t="s">
        <v>238</v>
      </c>
    </row>
    <row r="21" spans="1:47" s="14" customFormat="1" ht="200.25" customHeight="1" thickBot="1" x14ac:dyDescent="0.3">
      <c r="A21" s="353"/>
      <c r="B21" s="354"/>
      <c r="C21" s="355"/>
      <c r="D21" s="355"/>
      <c r="E21" s="356"/>
      <c r="F21" s="357"/>
      <c r="G21" s="354"/>
      <c r="H21" s="358"/>
      <c r="I21" s="359"/>
      <c r="J21" s="360"/>
      <c r="K21" s="361"/>
      <c r="L21" s="358"/>
      <c r="M21" s="359"/>
      <c r="N21" s="362"/>
      <c r="O21" s="363"/>
      <c r="P21" s="364"/>
      <c r="Q21" s="328">
        <v>5</v>
      </c>
      <c r="R21" s="329" t="s">
        <v>239</v>
      </c>
      <c r="S21" s="330" t="str">
        <f t="shared" si="5"/>
        <v>Impacto</v>
      </c>
      <c r="T21" s="331" t="s">
        <v>234</v>
      </c>
      <c r="U21" s="331" t="s">
        <v>218</v>
      </c>
      <c r="V21" s="332" t="str">
        <f t="shared" si="0"/>
        <v>25%</v>
      </c>
      <c r="W21" s="331" t="s">
        <v>235</v>
      </c>
      <c r="X21" s="331" t="s">
        <v>220</v>
      </c>
      <c r="Y21" s="331" t="s">
        <v>240</v>
      </c>
      <c r="Z21" s="333">
        <f>IFERROR(IF(AND(S20="Probabilidad",S21="Probabilidad"),(AB20-(+AB20*V21)),IF(S21="Probabilidad",(I20-(+I17*V21)),IF(S21="Impacto",AB20,""))),"")</f>
        <v>0.12959999999999999</v>
      </c>
      <c r="AA21" s="334" t="str">
        <f t="shared" si="1"/>
        <v>Muy Baja</v>
      </c>
      <c r="AB21" s="335">
        <f t="shared" si="2"/>
        <v>0.12959999999999999</v>
      </c>
      <c r="AC21" s="336" t="str">
        <f t="shared" si="3"/>
        <v>Menor</v>
      </c>
      <c r="AD21" s="333">
        <f>IFERROR(IF(AND(S20="Impacto",S20="Impacto"),(AD20-(+AD20*V21)),IF(S21="Impacto",(M17-(+M17*V21)),IF(S21="Probabilidad",AD20,""))),"")</f>
        <v>0.33749999999999997</v>
      </c>
      <c r="AE21" s="337" t="str">
        <f t="shared" si="4"/>
        <v>Muy Baja - Menor</v>
      </c>
      <c r="AF21" s="338" t="str">
        <f>+VLOOKUP(AE21,[2]Datos!$J$4:$K$28,2,)</f>
        <v>BAJO</v>
      </c>
      <c r="AG21" s="365"/>
      <c r="AH21" s="364"/>
      <c r="AI21" s="366"/>
      <c r="AJ21" s="367"/>
      <c r="AK21" s="368"/>
      <c r="AM21" s="369"/>
      <c r="AN21" s="344"/>
      <c r="AO21" s="370"/>
      <c r="AP21" s="371"/>
      <c r="AQ21" s="372"/>
      <c r="AR21" s="373"/>
      <c r="AS21" s="374"/>
      <c r="AT21" s="351" t="s">
        <v>241</v>
      </c>
      <c r="AU21" s="375"/>
    </row>
    <row r="22" spans="1:47" ht="157.5" customHeight="1" x14ac:dyDescent="0.25">
      <c r="A22" s="376">
        <v>2</v>
      </c>
      <c r="B22" s="377" t="s">
        <v>211</v>
      </c>
      <c r="C22" s="378" t="s">
        <v>242</v>
      </c>
      <c r="D22" s="379" t="s">
        <v>243</v>
      </c>
      <c r="E22" s="380" t="s">
        <v>244</v>
      </c>
      <c r="F22" s="381"/>
      <c r="G22" s="377">
        <v>365</v>
      </c>
      <c r="H22" s="382" t="str">
        <f>IF(G22&lt;=0,"",IF(G22&lt;=2,"Muy Baja",IF(G22&lt;=24,"Baja",IF(G22&lt;=500,"Media",IF(G22&lt;=5000,"Alta","Muy Alta")))))</f>
        <v>Media</v>
      </c>
      <c r="I22" s="383">
        <f>IF(H22="","",IF(H22="Muy Baja",0.2,IF(H22="Baja",0.4,IF(H22="Media",0.6,IF(H22="Alta",0.8,IF(H22="Muy Alta",1,))))))</f>
        <v>0.6</v>
      </c>
      <c r="J22" s="325" t="s">
        <v>245</v>
      </c>
      <c r="K22" s="384" t="str">
        <f>+J22</f>
        <v>El riesgo afecta la imagen de la entidad internamente, de conocimiento general nivel interno, de junta directiva y/o de proveedores</v>
      </c>
      <c r="L22" s="382" t="str">
        <f>+VLOOKUP(K22,[2]Datos!$O$4:$P$15,2,FALSE)</f>
        <v>Menor</v>
      </c>
      <c r="M22" s="383">
        <f>IF(L22="","",IF(L22="Leve",0.2,IF(L22="Menor",0.4,IF(L22="Moderado",0.6,IF(L22="Mayor",0.8,IF(L22="Catastrófico",1,))))))</f>
        <v>0.4</v>
      </c>
      <c r="N22" s="324" t="str">
        <f>+CONCATENATE(H22, " - ", L22)</f>
        <v>Media - Menor</v>
      </c>
      <c r="O22" s="327" t="str">
        <f>+VLOOKUP(N22,[2]Datos!J10:K34,2,)</f>
        <v>MODERADO</v>
      </c>
      <c r="P22" s="240"/>
      <c r="Q22" s="385">
        <v>1</v>
      </c>
      <c r="R22" s="297" t="s">
        <v>246</v>
      </c>
      <c r="S22" s="386" t="str">
        <f t="shared" si="5"/>
        <v>Probabilidad</v>
      </c>
      <c r="T22" s="387" t="s">
        <v>217</v>
      </c>
      <c r="U22" s="387" t="s">
        <v>218</v>
      </c>
      <c r="V22" s="388" t="str">
        <f t="shared" si="0"/>
        <v>40%</v>
      </c>
      <c r="W22" s="301" t="s">
        <v>219</v>
      </c>
      <c r="X22" s="301" t="s">
        <v>220</v>
      </c>
      <c r="Y22" s="301" t="s">
        <v>221</v>
      </c>
      <c r="Z22" s="389">
        <f>IFERROR(IF(S22="Probabilidad",(I22-(+I22*V22)),IF(S22="Impacto",I22,"")),"")</f>
        <v>0.36</v>
      </c>
      <c r="AA22" s="390" t="str">
        <f t="shared" si="1"/>
        <v>Baja</v>
      </c>
      <c r="AB22" s="391">
        <f t="shared" si="2"/>
        <v>0.36</v>
      </c>
      <c r="AC22" s="392" t="str">
        <f t="shared" si="3"/>
        <v>Menor</v>
      </c>
      <c r="AD22" s="389">
        <f>IFERROR(IF(S22="Impacto",(M22-(+M22*V22)),IF(S22="Probabilidad",M22,"")),"")</f>
        <v>0.4</v>
      </c>
      <c r="AE22" s="393" t="str">
        <f>+CONCATENATE(AA22, " - ", AC22)</f>
        <v>Baja - Menor</v>
      </c>
      <c r="AF22" s="394" t="str">
        <f>+VLOOKUP(AE22,[2]Datos!$J$4:$K$28,2,)</f>
        <v>MODERADO</v>
      </c>
      <c r="AG22" s="395" t="s">
        <v>222</v>
      </c>
      <c r="AH22" s="240"/>
      <c r="AI22" s="309"/>
      <c r="AJ22" s="396"/>
      <c r="AK22" s="311"/>
      <c r="AM22" s="397">
        <v>45275</v>
      </c>
      <c r="AN22" s="398" t="s">
        <v>247</v>
      </c>
      <c r="AO22" s="399"/>
      <c r="AP22" s="400"/>
      <c r="AQ22" s="401"/>
      <c r="AR22" s="1"/>
      <c r="AS22" s="402" t="s">
        <v>248</v>
      </c>
      <c r="AT22" s="403" t="s">
        <v>249</v>
      </c>
    </row>
    <row r="23" spans="1:47" ht="157.5" customHeight="1" thickBot="1" x14ac:dyDescent="0.3">
      <c r="A23" s="376"/>
      <c r="B23" s="377"/>
      <c r="C23" s="378"/>
      <c r="D23" s="379"/>
      <c r="E23" s="404"/>
      <c r="F23" s="381"/>
      <c r="G23" s="377"/>
      <c r="H23" s="382"/>
      <c r="I23" s="383"/>
      <c r="J23" s="325"/>
      <c r="K23" s="384"/>
      <c r="L23" s="382"/>
      <c r="M23" s="383"/>
      <c r="N23" s="324"/>
      <c r="O23" s="327"/>
      <c r="P23" s="240"/>
      <c r="Q23" s="328">
        <v>2</v>
      </c>
      <c r="R23" s="329" t="s">
        <v>226</v>
      </c>
      <c r="S23" s="386" t="str">
        <f t="shared" si="5"/>
        <v>Probabilidad</v>
      </c>
      <c r="T23" s="387" t="s">
        <v>217</v>
      </c>
      <c r="U23" s="387" t="s">
        <v>218</v>
      </c>
      <c r="V23" s="388" t="str">
        <f t="shared" si="0"/>
        <v>40%</v>
      </c>
      <c r="W23" s="301" t="s">
        <v>219</v>
      </c>
      <c r="X23" s="301" t="s">
        <v>227</v>
      </c>
      <c r="Y23" s="331" t="s">
        <v>228</v>
      </c>
      <c r="Z23" s="405">
        <f>IFERROR(IF(AND(S22="Probabilidad",S23="Probabilidad"),(AB22-(+AB22*V23)),IF(S23="Probabilidad",(I22-(+I22*V23)),IF(S23="Impacto",AB22,""))),"")</f>
        <v>0.216</v>
      </c>
      <c r="AA23" s="406" t="str">
        <f t="shared" si="1"/>
        <v>Baja</v>
      </c>
      <c r="AB23" s="405">
        <f t="shared" si="2"/>
        <v>0.216</v>
      </c>
      <c r="AC23" s="407" t="str">
        <f t="shared" si="3"/>
        <v>Menor</v>
      </c>
      <c r="AD23" s="405">
        <f>IFERROR(IF(AND(S22="Impacto",S22="Impacto"),(AD22-(+AD22*V23)),IF(S23="Impacto",(M22-(+M22*V23)),IF(S23="Probabilidad",AD22,""))),"")</f>
        <v>0.4</v>
      </c>
      <c r="AE23" s="408" t="str">
        <f t="shared" ref="AE23:AE25" si="6">+CONCATENATE(AA23, " - ", AC23)</f>
        <v>Baja - Menor</v>
      </c>
      <c r="AF23" s="409" t="str">
        <f>+VLOOKUP(AE23,[2]Datos!$J$4:$K$28,2,)</f>
        <v>MODERADO</v>
      </c>
      <c r="AG23" s="395"/>
      <c r="AH23" s="240"/>
      <c r="AI23" s="340"/>
      <c r="AJ23" s="410"/>
      <c r="AK23" s="342"/>
      <c r="AM23" s="397"/>
      <c r="AN23" s="411"/>
      <c r="AO23" s="412"/>
      <c r="AP23" s="413"/>
      <c r="AQ23" s="414"/>
      <c r="AR23" s="1"/>
      <c r="AS23" s="415"/>
      <c r="AT23" s="403" t="s">
        <v>250</v>
      </c>
    </row>
    <row r="24" spans="1:47" ht="220.5" customHeight="1" thickBot="1" x14ac:dyDescent="0.3">
      <c r="A24" s="416"/>
      <c r="B24" s="417"/>
      <c r="C24" s="418"/>
      <c r="D24" s="419"/>
      <c r="E24" s="420"/>
      <c r="F24" s="421"/>
      <c r="G24" s="417"/>
      <c r="H24" s="422"/>
      <c r="I24" s="423"/>
      <c r="J24" s="325"/>
      <c r="K24" s="384"/>
      <c r="L24" s="422"/>
      <c r="M24" s="423"/>
      <c r="N24" s="324"/>
      <c r="O24" s="327"/>
      <c r="P24" s="240"/>
      <c r="Q24" s="296">
        <v>3</v>
      </c>
      <c r="R24" s="424" t="s">
        <v>251</v>
      </c>
      <c r="S24" s="425" t="str">
        <f t="shared" si="5"/>
        <v>Probabilidad</v>
      </c>
      <c r="T24" s="426" t="s">
        <v>217</v>
      </c>
      <c r="U24" s="426" t="s">
        <v>218</v>
      </c>
      <c r="V24" s="427" t="str">
        <f t="shared" si="0"/>
        <v>40%</v>
      </c>
      <c r="W24" s="428" t="s">
        <v>252</v>
      </c>
      <c r="X24" s="428" t="s">
        <v>253</v>
      </c>
      <c r="Y24" s="429" t="s">
        <v>254</v>
      </c>
      <c r="Z24" s="405">
        <f>IFERROR(IF(AND(S23="Probabilidad",S24="Probabilidad"),(AB23-(+AB23*V24)),IF(S24="Probabilidad",(I22-(+I22*V24)),IF(S24="Impacto",AB23,""))),"")</f>
        <v>0.12959999999999999</v>
      </c>
      <c r="AA24" s="334" t="str">
        <f t="shared" si="1"/>
        <v>Muy Baja</v>
      </c>
      <c r="AB24" s="430">
        <f t="shared" si="2"/>
        <v>0.12959999999999999</v>
      </c>
      <c r="AC24" s="407" t="str">
        <f t="shared" si="3"/>
        <v>Menor</v>
      </c>
      <c r="AD24" s="405">
        <f>IFERROR(IF(AND(S22="Impacto",S22="Impacto"),(AD22-(+AD22*V24)),IF(S24="Impacto",(M22-(+M22*V24)),IF(S24="Probabilidad",AD22,""))),"")</f>
        <v>0.4</v>
      </c>
      <c r="AE24" s="408" t="str">
        <f t="shared" si="6"/>
        <v>Muy Baja - Menor</v>
      </c>
      <c r="AF24" s="409" t="str">
        <f>+VLOOKUP(AE24,[2]Datos!$J$4:$K$28,2,)</f>
        <v>BAJO</v>
      </c>
      <c r="AG24" s="431"/>
      <c r="AH24" s="240"/>
      <c r="AI24" s="340"/>
      <c r="AJ24" s="410"/>
      <c r="AK24" s="342"/>
      <c r="AM24" s="432"/>
      <c r="AN24" s="411"/>
      <c r="AO24" s="412"/>
      <c r="AP24" s="413"/>
      <c r="AQ24" s="414"/>
      <c r="AR24" s="1"/>
      <c r="AS24" s="415"/>
      <c r="AT24" s="403" t="s">
        <v>255</v>
      </c>
      <c r="AU24" s="318"/>
    </row>
    <row r="25" spans="1:47" ht="133.5" customHeight="1" thickBot="1" x14ac:dyDescent="0.3">
      <c r="A25" s="353"/>
      <c r="B25" s="354"/>
      <c r="C25" s="355"/>
      <c r="D25" s="433"/>
      <c r="E25" s="434"/>
      <c r="F25" s="435"/>
      <c r="G25" s="354"/>
      <c r="H25" s="358"/>
      <c r="I25" s="359"/>
      <c r="J25" s="360"/>
      <c r="K25" s="361"/>
      <c r="L25" s="358"/>
      <c r="M25" s="359"/>
      <c r="N25" s="362"/>
      <c r="O25" s="363"/>
      <c r="P25" s="240"/>
      <c r="Q25" s="436">
        <v>4</v>
      </c>
      <c r="R25" s="329" t="s">
        <v>256</v>
      </c>
      <c r="S25" s="437" t="str">
        <f t="shared" si="5"/>
        <v>Impacto</v>
      </c>
      <c r="T25" s="438" t="s">
        <v>234</v>
      </c>
      <c r="U25" s="438" t="s">
        <v>218</v>
      </c>
      <c r="V25" s="439" t="str">
        <f t="shared" si="0"/>
        <v>25%</v>
      </c>
      <c r="W25" s="350" t="s">
        <v>257</v>
      </c>
      <c r="X25" s="331" t="s">
        <v>258</v>
      </c>
      <c r="Y25" s="331" t="s">
        <v>259</v>
      </c>
      <c r="Z25" s="440">
        <f>IFERROR(IF(AND(S24="Probabilidad",S25="Probabilidad"),(AB24-(+AB24*V25)),IF(S25="Probabilidad",(I22-(+I22*V25)),IF(S25="Impacto",AB24,""))),"")</f>
        <v>0.12959999999999999</v>
      </c>
      <c r="AA25" s="334" t="str">
        <f t="shared" si="1"/>
        <v>Muy Baja</v>
      </c>
      <c r="AB25" s="441">
        <f t="shared" si="2"/>
        <v>0.12959999999999999</v>
      </c>
      <c r="AC25" s="442" t="str">
        <f t="shared" si="3"/>
        <v>Menor</v>
      </c>
      <c r="AD25" s="440">
        <f>IFERROR(IF(AND(S24="Impacto",S24="Impacto"),(AD24-(+AD24*V25)),IF(S25="Impacto",(M22-(+M22*V25)),IF(S25="Probabilidad",AD24,""))),"")</f>
        <v>0.30000000000000004</v>
      </c>
      <c r="AE25" s="443" t="str">
        <f t="shared" si="6"/>
        <v>Muy Baja - Menor</v>
      </c>
      <c r="AF25" s="444" t="str">
        <f>+VLOOKUP(AE25,[2]Datos!$J$4:$K$28,2,)</f>
        <v>BAJO</v>
      </c>
      <c r="AG25" s="365"/>
      <c r="AH25" s="240"/>
      <c r="AI25" s="366"/>
      <c r="AJ25" s="368"/>
      <c r="AK25" s="368"/>
      <c r="AM25" s="445"/>
      <c r="AN25" s="411"/>
      <c r="AO25" s="446"/>
      <c r="AP25" s="447"/>
      <c r="AQ25" s="448"/>
      <c r="AR25" s="1"/>
      <c r="AS25" s="449"/>
      <c r="AT25" s="403" t="s">
        <v>260</v>
      </c>
    </row>
    <row r="26" spans="1:47" ht="202.5" customHeight="1" x14ac:dyDescent="0.25">
      <c r="A26" s="285">
        <v>3</v>
      </c>
      <c r="B26" s="286" t="s">
        <v>211</v>
      </c>
      <c r="C26" s="287" t="s">
        <v>261</v>
      </c>
      <c r="D26" s="287" t="s">
        <v>262</v>
      </c>
      <c r="E26" s="378" t="s">
        <v>263</v>
      </c>
      <c r="F26" s="288"/>
      <c r="G26" s="286">
        <v>365</v>
      </c>
      <c r="H26" s="289" t="str">
        <f>IF(G26&lt;=0,"",IF(G26&lt;=2,"Muy Baja",IF(G26&lt;=24,"Baja",IF(G26&lt;=500,"Media",IF(G26&lt;=5000,"Alta","Muy Alta")))))</f>
        <v>Media</v>
      </c>
      <c r="I26" s="290">
        <f>IF(H26="","",IF(H26="Muy Baja",0.2,IF(H26="Baja",0.4,IF(H26="Media",0.6,IF(H26="Alta",0.8,IF(H26="Muy Alta",1,))))))</f>
        <v>0.6</v>
      </c>
      <c r="J26" s="291" t="s">
        <v>245</v>
      </c>
      <c r="K26" s="450" t="str">
        <f>+J26</f>
        <v>El riesgo afecta la imagen de la entidad internamente, de conocimiento general nivel interno, de junta directiva y/o de proveedores</v>
      </c>
      <c r="L26" s="289" t="str">
        <f>+VLOOKUP(K26,[2]Datos!$O$4:$P$15,2,FALSE)</f>
        <v>Menor</v>
      </c>
      <c r="M26" s="290">
        <f>IF(L26="","",IF(L26="Leve",0.2,IF(L26="Menor",0.4,IF(L26="Moderado",0.6,IF(L26="Mayor",0.8,IF(L26="Catastrófico",1,))))))</f>
        <v>0.4</v>
      </c>
      <c r="N26" s="293" t="str">
        <f>+CONCATENATE(H26, " - ", L26)</f>
        <v>Media - Menor</v>
      </c>
      <c r="O26" s="294" t="str">
        <f>+VLOOKUP(N26,[2]Datos!J14:K38,2,)</f>
        <v>MODERADO</v>
      </c>
      <c r="P26" s="240"/>
      <c r="Q26" s="296">
        <v>1</v>
      </c>
      <c r="R26" s="297" t="s">
        <v>264</v>
      </c>
      <c r="S26" s="451" t="str">
        <f t="shared" si="5"/>
        <v>Probabilidad</v>
      </c>
      <c r="T26" s="452" t="s">
        <v>217</v>
      </c>
      <c r="U26" s="452" t="s">
        <v>218</v>
      </c>
      <c r="V26" s="300" t="str">
        <f t="shared" si="0"/>
        <v>40%</v>
      </c>
      <c r="W26" s="453" t="s">
        <v>265</v>
      </c>
      <c r="X26" s="454" t="s">
        <v>266</v>
      </c>
      <c r="Y26" s="426" t="s">
        <v>267</v>
      </c>
      <c r="Z26" s="302">
        <f>IFERROR(IF(S26="Probabilidad",(I26-(+I26*V26)),IF(S26="Impacto",I26,"")),"")</f>
        <v>0.36</v>
      </c>
      <c r="AA26" s="303" t="str">
        <f t="shared" si="1"/>
        <v>Baja</v>
      </c>
      <c r="AB26" s="304">
        <f t="shared" si="2"/>
        <v>0.36</v>
      </c>
      <c r="AC26" s="305" t="str">
        <f t="shared" si="3"/>
        <v>Menor</v>
      </c>
      <c r="AD26" s="302">
        <f>IFERROR(IF(S26="Impacto",(M26-(+M26*V26)),IF(S26="Probabilidad",M26,"")),"")</f>
        <v>0.4</v>
      </c>
      <c r="AE26" s="306" t="str">
        <f>+CONCATENATE(AA26, " - ", AC26)</f>
        <v>Baja - Menor</v>
      </c>
      <c r="AF26" s="307" t="str">
        <f>+VLOOKUP(AE26,[2]Datos!$J$4:$K$28,2,)</f>
        <v>MODERADO</v>
      </c>
      <c r="AG26" s="455" t="s">
        <v>45</v>
      </c>
      <c r="AH26" s="240"/>
      <c r="AI26" s="456" t="s">
        <v>268</v>
      </c>
      <c r="AJ26" s="310" t="s">
        <v>269</v>
      </c>
      <c r="AK26" s="457">
        <v>45168</v>
      </c>
      <c r="AM26" s="458">
        <v>45275</v>
      </c>
      <c r="AN26" s="459" t="s">
        <v>270</v>
      </c>
      <c r="AO26" s="460" t="s">
        <v>271</v>
      </c>
      <c r="AP26" s="461"/>
      <c r="AQ26" s="462"/>
      <c r="AR26" s="1"/>
      <c r="AS26" s="463" t="s">
        <v>272</v>
      </c>
      <c r="AT26" s="403" t="s">
        <v>225</v>
      </c>
    </row>
    <row r="27" spans="1:47" ht="228.75" customHeight="1" thickBot="1" x14ac:dyDescent="0.3">
      <c r="A27" s="353"/>
      <c r="B27" s="354"/>
      <c r="C27" s="355"/>
      <c r="D27" s="355"/>
      <c r="E27" s="355"/>
      <c r="F27" s="357"/>
      <c r="G27" s="354"/>
      <c r="H27" s="358"/>
      <c r="I27" s="359"/>
      <c r="J27" s="360"/>
      <c r="K27" s="361"/>
      <c r="L27" s="358"/>
      <c r="M27" s="359"/>
      <c r="N27" s="362"/>
      <c r="O27" s="363"/>
      <c r="P27" s="240"/>
      <c r="Q27" s="436">
        <v>2</v>
      </c>
      <c r="R27" s="349" t="s">
        <v>273</v>
      </c>
      <c r="S27" s="464" t="str">
        <f t="shared" si="5"/>
        <v>Impacto</v>
      </c>
      <c r="T27" s="465" t="s">
        <v>234</v>
      </c>
      <c r="U27" s="465" t="s">
        <v>218</v>
      </c>
      <c r="V27" s="439" t="str">
        <f t="shared" si="0"/>
        <v>25%</v>
      </c>
      <c r="W27" s="331" t="s">
        <v>274</v>
      </c>
      <c r="X27" s="331" t="s">
        <v>275</v>
      </c>
      <c r="Y27" s="350" t="s">
        <v>276</v>
      </c>
      <c r="Z27" s="440">
        <f>IFERROR(IF(AND(S26="Probabilidad",S27="Probabilidad"),(AB26-(+AB26*V27)),IF(S27="Probabilidad",(I26-(+I26*V27)),IF(S27="Impacto",AB26,""))),"")</f>
        <v>0.36</v>
      </c>
      <c r="AA27" s="466" t="str">
        <f t="shared" si="1"/>
        <v>Baja</v>
      </c>
      <c r="AB27" s="441">
        <f t="shared" si="2"/>
        <v>0.36</v>
      </c>
      <c r="AC27" s="442" t="str">
        <f t="shared" si="3"/>
        <v>Menor</v>
      </c>
      <c r="AD27" s="440">
        <f>IFERROR(IF(AND(S26="Impacto",S26="Impacto"),(AD26-(+AD26*V27)),IF(S27="Impacto",(M26-(+M26*V27)),IF(S27="Probabilidad",AD26,""))),"")</f>
        <v>0.30000000000000004</v>
      </c>
      <c r="AE27" s="443" t="str">
        <f t="shared" ref="AE27" si="7">+CONCATENATE(AA27, " - ", AC27)</f>
        <v>Baja - Menor</v>
      </c>
      <c r="AF27" s="444" t="str">
        <f>+VLOOKUP(AE27,[2]Datos!$J$4:$K$28,2,)</f>
        <v>MODERADO</v>
      </c>
      <c r="AG27" s="467"/>
      <c r="AH27" s="240"/>
      <c r="AI27" s="468"/>
      <c r="AJ27" s="367"/>
      <c r="AK27" s="469"/>
      <c r="AM27" s="470"/>
      <c r="AN27" s="471"/>
      <c r="AO27" s="472"/>
      <c r="AP27" s="471"/>
      <c r="AQ27" s="448"/>
      <c r="AR27" s="1"/>
      <c r="AS27" s="449"/>
      <c r="AT27" s="403" t="s">
        <v>277</v>
      </c>
      <c r="AU27" s="318"/>
    </row>
    <row r="28" spans="1:47" x14ac:dyDescent="0.25">
      <c r="P28" s="240"/>
    </row>
    <row r="29" spans="1:47" x14ac:dyDescent="0.25">
      <c r="P29" s="240"/>
    </row>
    <row r="30" spans="1:47" x14ac:dyDescent="0.25">
      <c r="P30" s="240"/>
    </row>
    <row r="31" spans="1:47" x14ac:dyDescent="0.25">
      <c r="P31" s="240"/>
    </row>
    <row r="32" spans="1:47" x14ac:dyDescent="0.25">
      <c r="P32" s="240"/>
    </row>
    <row r="33" spans="16:16" x14ac:dyDescent="0.25">
      <c r="P33" s="240"/>
    </row>
  </sheetData>
  <mergeCells count="103">
    <mergeCell ref="AQ26:AQ27"/>
    <mergeCell ref="AS26:AS27"/>
    <mergeCell ref="AJ26:AJ27"/>
    <mergeCell ref="AK26:AK27"/>
    <mergeCell ref="AM26:AM27"/>
    <mergeCell ref="AN26:AN27"/>
    <mergeCell ref="AO26:AO27"/>
    <mergeCell ref="AP26:AP27"/>
    <mergeCell ref="L26:L27"/>
    <mergeCell ref="M26:M27"/>
    <mergeCell ref="N26:N27"/>
    <mergeCell ref="O26:O27"/>
    <mergeCell ref="AG26:AG27"/>
    <mergeCell ref="AI26:AI27"/>
    <mergeCell ref="F26:F27"/>
    <mergeCell ref="G26:G27"/>
    <mergeCell ref="H26:H27"/>
    <mergeCell ref="I26:I27"/>
    <mergeCell ref="J26:J27"/>
    <mergeCell ref="K26:K27"/>
    <mergeCell ref="AN22:AN25"/>
    <mergeCell ref="AO22:AO25"/>
    <mergeCell ref="AP22:AP25"/>
    <mergeCell ref="AQ22:AQ25"/>
    <mergeCell ref="AS22:AS25"/>
    <mergeCell ref="A26:A27"/>
    <mergeCell ref="B26:B27"/>
    <mergeCell ref="C26:C27"/>
    <mergeCell ref="D26:D27"/>
    <mergeCell ref="E26:E27"/>
    <mergeCell ref="O22:O25"/>
    <mergeCell ref="AG22:AG25"/>
    <mergeCell ref="AI22:AI25"/>
    <mergeCell ref="AJ22:AJ25"/>
    <mergeCell ref="AK22:AK25"/>
    <mergeCell ref="AM22:AM25"/>
    <mergeCell ref="I22:I25"/>
    <mergeCell ref="J22:J25"/>
    <mergeCell ref="K22:K25"/>
    <mergeCell ref="L22:L25"/>
    <mergeCell ref="M22:M25"/>
    <mergeCell ref="N22:N25"/>
    <mergeCell ref="AS17:AS21"/>
    <mergeCell ref="AT17:AT18"/>
    <mergeCell ref="A22:A25"/>
    <mergeCell ref="B22:B25"/>
    <mergeCell ref="C22:C25"/>
    <mergeCell ref="D22:D25"/>
    <mergeCell ref="E22:E25"/>
    <mergeCell ref="F22:F25"/>
    <mergeCell ref="G22:G25"/>
    <mergeCell ref="H22:H25"/>
    <mergeCell ref="AK17:AK21"/>
    <mergeCell ref="AM17:AM21"/>
    <mergeCell ref="AN17:AN21"/>
    <mergeCell ref="AO17:AO21"/>
    <mergeCell ref="AP17:AP21"/>
    <mergeCell ref="AQ17:AQ21"/>
    <mergeCell ref="M17:M21"/>
    <mergeCell ref="N17:N21"/>
    <mergeCell ref="O17:O21"/>
    <mergeCell ref="AG17:AG21"/>
    <mergeCell ref="AI17:AI21"/>
    <mergeCell ref="AJ17:AJ21"/>
    <mergeCell ref="G17:G21"/>
    <mergeCell ref="H17:H21"/>
    <mergeCell ref="I17:I21"/>
    <mergeCell ref="J17:J21"/>
    <mergeCell ref="K17:K21"/>
    <mergeCell ref="L17:L21"/>
    <mergeCell ref="AM14:AQ15"/>
    <mergeCell ref="AS14:AT15"/>
    <mergeCell ref="T15:Y15"/>
    <mergeCell ref="Z15:AG15"/>
    <mergeCell ref="A17:A21"/>
    <mergeCell ref="B17:B21"/>
    <mergeCell ref="C17:C21"/>
    <mergeCell ref="D17:D21"/>
    <mergeCell ref="E17:E21"/>
    <mergeCell ref="F17:F21"/>
    <mergeCell ref="A12:C12"/>
    <mergeCell ref="D12:M12"/>
    <mergeCell ref="N12:R12"/>
    <mergeCell ref="A14:O15"/>
    <mergeCell ref="Q14:AG14"/>
    <mergeCell ref="AI14:AK15"/>
    <mergeCell ref="AS7:AT8"/>
    <mergeCell ref="A10:C10"/>
    <mergeCell ref="D10:M10"/>
    <mergeCell ref="N10:R10"/>
    <mergeCell ref="A11:C11"/>
    <mergeCell ref="D11:M11"/>
    <mergeCell ref="N11:R11"/>
    <mergeCell ref="A1:B8"/>
    <mergeCell ref="C1:AP4"/>
    <mergeCell ref="AQ1:AR2"/>
    <mergeCell ref="AS1:AT2"/>
    <mergeCell ref="AQ3:AR4"/>
    <mergeCell ref="AS3:AT4"/>
    <mergeCell ref="C5:AP8"/>
    <mergeCell ref="AQ5:AR6"/>
    <mergeCell ref="AS5:AT6"/>
    <mergeCell ref="AQ7:AR8"/>
  </mergeCells>
  <conditionalFormatting sqref="H17:H27">
    <cfRule type="cellIs" dxfId="88" priority="26" operator="equal">
      <formula>"Muy Alta"</formula>
    </cfRule>
    <cfRule type="cellIs" dxfId="87" priority="27" operator="equal">
      <formula>"Alta"</formula>
    </cfRule>
    <cfRule type="cellIs" dxfId="86" priority="28" operator="equal">
      <formula>"Media"</formula>
    </cfRule>
    <cfRule type="cellIs" dxfId="85" priority="29" operator="equal">
      <formula>"Muy Baja"</formula>
    </cfRule>
    <cfRule type="cellIs" dxfId="84" priority="30" operator="equal">
      <formula>"Baja"</formula>
    </cfRule>
  </conditionalFormatting>
  <conditionalFormatting sqref="L17:L27">
    <cfRule type="cellIs" dxfId="83" priority="21" operator="equal">
      <formula>"Leve"</formula>
    </cfRule>
    <cfRule type="cellIs" dxfId="82" priority="22" operator="equal">
      <formula>"Catastrófico"</formula>
    </cfRule>
    <cfRule type="cellIs" dxfId="81" priority="23" operator="equal">
      <formula>"Mayor"</formula>
    </cfRule>
    <cfRule type="cellIs" dxfId="80" priority="24" operator="equal">
      <formula>"Moderado"</formula>
    </cfRule>
    <cfRule type="cellIs" dxfId="79" priority="25" operator="equal">
      <formula>"Menor"</formula>
    </cfRule>
  </conditionalFormatting>
  <conditionalFormatting sqref="O17:O27">
    <cfRule type="cellIs" dxfId="78" priority="17" operator="equal">
      <formula>"EXTREMO"</formula>
    </cfRule>
    <cfRule type="cellIs" dxfId="77" priority="18" operator="equal">
      <formula>"ALTO"</formula>
    </cfRule>
    <cfRule type="cellIs" dxfId="76" priority="19" operator="equal">
      <formula>"BAJO"</formula>
    </cfRule>
    <cfRule type="cellIs" dxfId="75" priority="20" operator="equal">
      <formula>"MODERADO"</formula>
    </cfRule>
  </conditionalFormatting>
  <conditionalFormatting sqref="AA17">
    <cfRule type="cellIs" dxfId="74" priority="32" operator="equal">
      <formula>"B+$Z$17Muy Baja"</formula>
    </cfRule>
  </conditionalFormatting>
  <conditionalFormatting sqref="AA17:AA27">
    <cfRule type="cellIs" dxfId="73" priority="2" operator="equal">
      <formula>"Baja"</formula>
    </cfRule>
    <cfRule type="cellIs" dxfId="72" priority="3" operator="equal">
      <formula>"Media"</formula>
    </cfRule>
    <cfRule type="cellIs" dxfId="71" priority="4" operator="equal">
      <formula>"Muy Alta"</formula>
    </cfRule>
    <cfRule type="cellIs" dxfId="70" priority="5" operator="equal">
      <formula>"Alta"</formula>
    </cfRule>
  </conditionalFormatting>
  <conditionalFormatting sqref="AA18:AA21">
    <cfRule type="cellIs" dxfId="69" priority="15" operator="equal">
      <formula>"Muy Baja"</formula>
    </cfRule>
  </conditionalFormatting>
  <conditionalFormatting sqref="AA22:AA23">
    <cfRule type="cellIs" dxfId="68" priority="31" operator="equal">
      <formula>"B+$Z$17Muy Baja"</formula>
    </cfRule>
  </conditionalFormatting>
  <conditionalFormatting sqref="AA24:AA25">
    <cfRule type="cellIs" dxfId="67" priority="1" operator="equal">
      <formula>"Muy Baja"</formula>
    </cfRule>
  </conditionalFormatting>
  <conditionalFormatting sqref="AA26:AA27">
    <cfRule type="cellIs" dxfId="66" priority="16" operator="equal">
      <formula>"B+$Z$17Muy Baja"</formula>
    </cfRule>
  </conditionalFormatting>
  <conditionalFormatting sqref="AC17:AC27">
    <cfRule type="cellIs" dxfId="65" priority="10" operator="equal">
      <formula>"Catastrófico"</formula>
    </cfRule>
    <cfRule type="cellIs" dxfId="64" priority="11" operator="equal">
      <formula>"Mayor"</formula>
    </cfRule>
    <cfRule type="cellIs" dxfId="63" priority="12" operator="equal">
      <formula>"Moderado"</formula>
    </cfRule>
    <cfRule type="cellIs" dxfId="62" priority="13" operator="equal">
      <formula>"Menor"</formula>
    </cfRule>
    <cfRule type="cellIs" dxfId="61" priority="14" operator="equal">
      <formula>"Leve"</formula>
    </cfRule>
  </conditionalFormatting>
  <conditionalFormatting sqref="AF17:AF27">
    <cfRule type="cellIs" dxfId="60" priority="6" operator="equal">
      <formula>"EXTREMO"</formula>
    </cfRule>
    <cfRule type="cellIs" dxfId="59" priority="7" operator="equal">
      <formula>"ALTO"</formula>
    </cfRule>
    <cfRule type="cellIs" dxfId="58" priority="8" operator="equal">
      <formula>"BAJO"</formula>
    </cfRule>
    <cfRule type="cellIs" dxfId="57" priority="9"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'C:\Users\caguerra\Downloads\[Mapa de Riesgos de Gestión - Comunicaciones Estratégicas III Seguimiento.xlsx]Datos'!#REF!</xm:f>
          </x14:formula1>
          <xm:sqref>U17:U27</xm:sqref>
        </x14:dataValidation>
        <x14:dataValidation type="list" allowBlank="1" showInputMessage="1" showErrorMessage="1">
          <x14:formula1>
            <xm:f>'C:\Users\caguerra\Downloads\[Mapa de Riesgos de Gestión - Comunicaciones Estratégicas III Seguimiento.xlsx]Datos'!#REF!</xm:f>
          </x14:formula1>
          <xm:sqref>T17:T27</xm:sqref>
        </x14:dataValidation>
        <x14:dataValidation type="list" allowBlank="1" showInputMessage="1" showErrorMessage="1">
          <x14:formula1>
            <xm:f>'C:\Users\caguerra\Downloads\[Mapa de Riesgos de Gestión - Comunicaciones Estratégicas III Seguimiento.xlsx]Datos'!#REF!</xm:f>
          </x14:formula1>
          <xm:sqref>J17:J27</xm:sqref>
        </x14:dataValidation>
        <x14:dataValidation type="list" allowBlank="1" showInputMessage="1" showErrorMessage="1">
          <x14:formula1>
            <xm:f>'C:\Users\caguerra\Downloads\[Mapa de Riesgos de Gestión - Comunicaciones Estratégicas III Seguimiento.xlsx]Datos'!#REF!</xm:f>
          </x14:formula1>
          <xm:sqref>B17:B27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29"/>
  <sheetViews>
    <sheetView showGridLines="0" topLeftCell="A11" zoomScale="60" zoomScaleNormal="60" zoomScaleSheetLayoutView="90" workbookViewId="0">
      <selection activeCell="L17" sqref="L17:L19"/>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hidden="1" customWidth="1"/>
    <col min="12" max="12" width="20.140625" style="234" customWidth="1"/>
    <col min="13" max="13" width="9.42578125" style="234" customWidth="1"/>
    <col min="14" max="14" width="26.85546875" style="234" customWidth="1"/>
    <col min="15" max="15" width="11.42578125" style="234" customWidth="1"/>
    <col min="16" max="16" width="1" style="234" customWidth="1"/>
    <col min="17" max="17" width="5.140625" style="234" customWidth="1"/>
    <col min="18" max="18" width="46.5703125" style="234" customWidth="1"/>
    <col min="19" max="19" width="15.85546875" style="234" customWidth="1"/>
    <col min="20" max="22" width="5.140625" style="234" customWidth="1"/>
    <col min="23" max="24" width="11.42578125" style="234"/>
    <col min="25" max="27" width="7.42578125" style="234" customWidth="1"/>
    <col min="28" max="28" width="9.28515625" style="234" customWidth="1"/>
    <col min="29" max="29" width="8" style="234" customWidth="1"/>
    <col min="30" max="31" width="7.42578125" style="234" customWidth="1"/>
    <col min="32" max="32" width="9.42578125" style="234" customWidth="1"/>
    <col min="33" max="33" width="8.5703125" style="473" customWidth="1"/>
    <col min="34" max="34" width="1" style="473" customWidth="1"/>
    <col min="35" max="35" width="26.85546875" style="473" customWidth="1"/>
    <col min="36" max="36" width="26.5703125" style="234" customWidth="1"/>
    <col min="37" max="37" width="20.85546875" style="234" customWidth="1"/>
    <col min="38" max="38" width="1" customWidth="1"/>
    <col min="39" max="39" width="18.42578125" customWidth="1"/>
    <col min="40" max="43" width="45" customWidth="1"/>
    <col min="44" max="44" width="1" customWidth="1"/>
    <col min="45" max="46" width="45" customWidth="1"/>
  </cols>
  <sheetData>
    <row r="1" spans="1:46" ht="15.75" customHeight="1" x14ac:dyDescent="0.25">
      <c r="A1" s="474"/>
      <c r="B1" s="474"/>
      <c r="C1" s="475" t="s">
        <v>61</v>
      </c>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4" t="s">
        <v>62</v>
      </c>
      <c r="AR1" s="474"/>
      <c r="AS1" s="476" t="s">
        <v>162</v>
      </c>
      <c r="AT1" s="476"/>
    </row>
    <row r="2" spans="1:46" ht="15.75" customHeight="1" x14ac:dyDescent="0.25">
      <c r="A2" s="474"/>
      <c r="B2" s="474"/>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4"/>
      <c r="AR2" s="474"/>
      <c r="AS2" s="476"/>
      <c r="AT2" s="476"/>
    </row>
    <row r="3" spans="1:46" ht="15.75" customHeight="1" x14ac:dyDescent="0.25">
      <c r="A3" s="474"/>
      <c r="B3" s="474"/>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4" t="s">
        <v>64</v>
      </c>
      <c r="AR3" s="474"/>
      <c r="AS3" s="477" t="s">
        <v>163</v>
      </c>
      <c r="AT3" s="477"/>
    </row>
    <row r="4" spans="1:46" ht="16.5" customHeight="1" x14ac:dyDescent="0.25">
      <c r="A4" s="474"/>
      <c r="B4" s="474"/>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4"/>
      <c r="AR4" s="474"/>
      <c r="AS4" s="477"/>
      <c r="AT4" s="477"/>
    </row>
    <row r="5" spans="1:46" ht="20.45" customHeight="1" x14ac:dyDescent="0.25">
      <c r="A5" s="474"/>
      <c r="B5" s="474"/>
      <c r="C5" s="475" t="s">
        <v>164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4" t="s">
        <v>67</v>
      </c>
      <c r="AR5" s="474"/>
      <c r="AS5" s="474" t="s">
        <v>165</v>
      </c>
      <c r="AT5" s="474"/>
    </row>
    <row r="6" spans="1:46" ht="15" customHeight="1" x14ac:dyDescent="0.25">
      <c r="A6" s="474"/>
      <c r="B6" s="474"/>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5"/>
      <c r="AP6" s="475"/>
      <c r="AQ6" s="474"/>
      <c r="AR6" s="474"/>
      <c r="AS6" s="474"/>
      <c r="AT6" s="474"/>
    </row>
    <row r="7" spans="1:46" ht="15.75" customHeight="1" x14ac:dyDescent="0.25">
      <c r="A7" s="474"/>
      <c r="B7" s="474"/>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5"/>
      <c r="AP7" s="475"/>
      <c r="AQ7" s="474" t="s">
        <v>69</v>
      </c>
      <c r="AR7" s="474"/>
      <c r="AS7" s="478">
        <v>44838</v>
      </c>
      <c r="AT7" s="476"/>
    </row>
    <row r="8" spans="1:46" ht="16.5" customHeight="1" x14ac:dyDescent="0.25">
      <c r="A8" s="474"/>
      <c r="B8" s="474"/>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4"/>
      <c r="AR8" s="474"/>
      <c r="AS8" s="476"/>
      <c r="AT8" s="476"/>
    </row>
    <row r="10" spans="1:46" ht="54" customHeight="1" x14ac:dyDescent="0.25">
      <c r="A10" s="228" t="s">
        <v>166</v>
      </c>
      <c r="B10" s="228"/>
      <c r="C10" s="228"/>
      <c r="D10" s="229" t="s">
        <v>278</v>
      </c>
      <c r="E10" s="230"/>
      <c r="F10" s="230"/>
      <c r="G10" s="230"/>
      <c r="H10" s="230"/>
      <c r="I10" s="230"/>
      <c r="J10" s="230"/>
      <c r="K10" s="230"/>
      <c r="L10" s="230"/>
      <c r="M10" s="231"/>
      <c r="N10" s="479"/>
      <c r="AG10" s="234"/>
      <c r="AH10" s="234"/>
      <c r="AI10" s="234"/>
    </row>
    <row r="11" spans="1:46" s="241" customFormat="1" ht="75" customHeight="1" x14ac:dyDescent="0.25">
      <c r="A11" s="228" t="s">
        <v>168</v>
      </c>
      <c r="B11" s="228"/>
      <c r="C11" s="228"/>
      <c r="D11" s="235" t="s">
        <v>279</v>
      </c>
      <c r="E11" s="242"/>
      <c r="F11" s="242"/>
      <c r="G11" s="242"/>
      <c r="H11" s="242"/>
      <c r="I11" s="242"/>
      <c r="J11" s="242"/>
      <c r="K11" s="242"/>
      <c r="L11" s="242"/>
      <c r="M11" s="243"/>
      <c r="N11" s="48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row>
    <row r="12" spans="1:46" s="241" customFormat="1" ht="75" customHeight="1" x14ac:dyDescent="0.25">
      <c r="A12" s="228" t="s">
        <v>170</v>
      </c>
      <c r="B12" s="228"/>
      <c r="C12" s="228"/>
      <c r="D12" s="235" t="s">
        <v>280</v>
      </c>
      <c r="E12" s="242"/>
      <c r="F12" s="242"/>
      <c r="G12" s="242"/>
      <c r="H12" s="242"/>
      <c r="I12" s="242"/>
      <c r="J12" s="242"/>
      <c r="K12" s="242"/>
      <c r="L12" s="242"/>
      <c r="M12" s="243"/>
      <c r="N12" s="48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row>
    <row r="13" spans="1:46" s="241" customFormat="1" ht="24.75" customHeight="1" thickBot="1" x14ac:dyDescent="0.3">
      <c r="A13" s="244"/>
      <c r="B13" s="244"/>
      <c r="C13" s="244"/>
      <c r="D13" s="244"/>
      <c r="E13" s="244"/>
      <c r="F13" s="244"/>
      <c r="G13" s="244"/>
      <c r="H13" s="244"/>
      <c r="I13" s="244"/>
      <c r="J13" s="244"/>
      <c r="K13" s="244"/>
      <c r="L13" s="244"/>
      <c r="M13" s="244"/>
      <c r="N13" s="244"/>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row>
    <row r="14" spans="1:46" s="241" customFormat="1" ht="24.75" customHeight="1" x14ac:dyDescent="0.25">
      <c r="A14" s="245" t="s">
        <v>81</v>
      </c>
      <c r="B14" s="246"/>
      <c r="C14" s="246"/>
      <c r="D14" s="246"/>
      <c r="E14" s="246"/>
      <c r="F14" s="246"/>
      <c r="G14" s="246"/>
      <c r="H14" s="246"/>
      <c r="I14" s="246"/>
      <c r="J14" s="246"/>
      <c r="K14" s="246"/>
      <c r="L14" s="246"/>
      <c r="M14" s="246"/>
      <c r="N14" s="247"/>
      <c r="O14" s="248"/>
      <c r="P14" s="240"/>
      <c r="Q14" s="249" t="s">
        <v>82</v>
      </c>
      <c r="R14" s="250"/>
      <c r="S14" s="250"/>
      <c r="T14" s="251"/>
      <c r="U14" s="251"/>
      <c r="V14" s="251"/>
      <c r="W14" s="251"/>
      <c r="X14" s="251"/>
      <c r="Y14" s="251"/>
      <c r="Z14" s="250"/>
      <c r="AA14" s="250"/>
      <c r="AB14" s="250"/>
      <c r="AC14" s="250"/>
      <c r="AD14" s="250"/>
      <c r="AE14" s="250"/>
      <c r="AF14" s="250"/>
      <c r="AG14" s="252"/>
      <c r="AH14" s="240"/>
      <c r="AI14" s="253" t="s">
        <v>172</v>
      </c>
      <c r="AJ14" s="254"/>
      <c r="AK14" s="255"/>
      <c r="AM14" s="253" t="s">
        <v>83</v>
      </c>
      <c r="AN14" s="254"/>
      <c r="AO14" s="254"/>
      <c r="AP14" s="254"/>
      <c r="AQ14" s="254"/>
      <c r="AR14" s="1"/>
      <c r="AS14" s="253" t="s">
        <v>84</v>
      </c>
      <c r="AT14" s="255"/>
    </row>
    <row r="15" spans="1:46" x14ac:dyDescent="0.25">
      <c r="A15" s="256"/>
      <c r="B15" s="257"/>
      <c r="C15" s="257"/>
      <c r="D15" s="257"/>
      <c r="E15" s="257"/>
      <c r="F15" s="257"/>
      <c r="G15" s="257"/>
      <c r="H15" s="257"/>
      <c r="I15" s="257"/>
      <c r="J15" s="257"/>
      <c r="K15" s="257"/>
      <c r="L15" s="257"/>
      <c r="M15" s="257"/>
      <c r="N15" s="258"/>
      <c r="O15" s="259"/>
      <c r="P15" s="240"/>
      <c r="Q15" s="260"/>
      <c r="R15" s="261"/>
      <c r="S15" s="261"/>
      <c r="T15" s="262" t="s">
        <v>173</v>
      </c>
      <c r="U15" s="262"/>
      <c r="V15" s="262"/>
      <c r="W15" s="262"/>
      <c r="X15" s="262"/>
      <c r="Y15" s="262"/>
      <c r="Z15" s="263"/>
      <c r="AA15" s="263"/>
      <c r="AB15" s="263"/>
      <c r="AC15" s="263"/>
      <c r="AD15" s="263"/>
      <c r="AE15" s="263"/>
      <c r="AF15" s="263"/>
      <c r="AG15" s="264"/>
      <c r="AH15" s="240"/>
      <c r="AI15" s="265"/>
      <c r="AJ15" s="266"/>
      <c r="AK15" s="267"/>
      <c r="AM15" s="265"/>
      <c r="AN15" s="266"/>
      <c r="AO15" s="266"/>
      <c r="AP15" s="266"/>
      <c r="AQ15" s="266"/>
      <c r="AR15" s="1"/>
      <c r="AS15" s="265"/>
      <c r="AT15" s="267"/>
    </row>
    <row r="16" spans="1:46" s="282" customFormat="1" ht="106.5" customHeight="1" thickBot="1" x14ac:dyDescent="0.3">
      <c r="A16" s="268" t="s">
        <v>174</v>
      </c>
      <c r="B16" s="269" t="s">
        <v>175</v>
      </c>
      <c r="C16" s="270" t="s">
        <v>176</v>
      </c>
      <c r="D16" s="270" t="s">
        <v>177</v>
      </c>
      <c r="E16" s="271" t="s">
        <v>178</v>
      </c>
      <c r="F16" s="272" t="s">
        <v>179</v>
      </c>
      <c r="G16" s="273" t="s">
        <v>180</v>
      </c>
      <c r="H16" s="271" t="s">
        <v>181</v>
      </c>
      <c r="I16" s="270" t="s">
        <v>182</v>
      </c>
      <c r="J16" s="270" t="s">
        <v>183</v>
      </c>
      <c r="K16" s="271" t="s">
        <v>184</v>
      </c>
      <c r="L16" s="271" t="s">
        <v>185</v>
      </c>
      <c r="M16" s="270" t="s">
        <v>182</v>
      </c>
      <c r="N16" s="270" t="s">
        <v>186</v>
      </c>
      <c r="O16" s="274" t="s">
        <v>187</v>
      </c>
      <c r="P16" s="240"/>
      <c r="Q16" s="275" t="s">
        <v>188</v>
      </c>
      <c r="R16" s="276" t="s">
        <v>189</v>
      </c>
      <c r="S16" s="277" t="s">
        <v>190</v>
      </c>
      <c r="T16" s="278" t="s">
        <v>191</v>
      </c>
      <c r="U16" s="278" t="s">
        <v>192</v>
      </c>
      <c r="V16" s="278" t="s">
        <v>193</v>
      </c>
      <c r="W16" s="278" t="s">
        <v>194</v>
      </c>
      <c r="X16" s="278" t="s">
        <v>195</v>
      </c>
      <c r="Y16" s="278" t="s">
        <v>196</v>
      </c>
      <c r="Z16" s="279" t="s">
        <v>197</v>
      </c>
      <c r="AA16" s="279" t="s">
        <v>198</v>
      </c>
      <c r="AB16" s="279" t="s">
        <v>182</v>
      </c>
      <c r="AC16" s="279" t="s">
        <v>199</v>
      </c>
      <c r="AD16" s="279" t="s">
        <v>182</v>
      </c>
      <c r="AE16" s="279" t="s">
        <v>186</v>
      </c>
      <c r="AF16" s="279" t="s">
        <v>200</v>
      </c>
      <c r="AG16" s="274" t="s">
        <v>201</v>
      </c>
      <c r="AH16" s="240"/>
      <c r="AI16" s="280" t="s">
        <v>202</v>
      </c>
      <c r="AJ16" s="276" t="s">
        <v>203</v>
      </c>
      <c r="AK16" s="281" t="s">
        <v>204</v>
      </c>
      <c r="AM16" s="283" t="s">
        <v>205</v>
      </c>
      <c r="AN16" s="283" t="s">
        <v>206</v>
      </c>
      <c r="AO16" s="283" t="s">
        <v>207</v>
      </c>
      <c r="AP16" s="283" t="s">
        <v>208</v>
      </c>
      <c r="AQ16" s="283" t="s">
        <v>209</v>
      </c>
      <c r="AR16" s="2"/>
      <c r="AS16" s="283" t="s">
        <v>115</v>
      </c>
      <c r="AT16" s="284" t="s">
        <v>210</v>
      </c>
    </row>
    <row r="17" spans="1:48" ht="201" customHeight="1" thickBot="1" x14ac:dyDescent="0.3">
      <c r="A17" s="285">
        <v>1</v>
      </c>
      <c r="B17" s="286" t="s">
        <v>211</v>
      </c>
      <c r="C17" s="287" t="s">
        <v>281</v>
      </c>
      <c r="D17" s="287" t="s">
        <v>282</v>
      </c>
      <c r="E17" s="287" t="s">
        <v>283</v>
      </c>
      <c r="F17" s="288"/>
      <c r="G17" s="286">
        <v>4</v>
      </c>
      <c r="H17" s="289" t="str">
        <f>IF(G17&lt;=0,"",IF(G17&lt;=2,"Muy Baja",IF(G17&lt;=24,"Baja",IF(G17&lt;=500,"Media",IF(G17&lt;=5000,"Alta","Muy Alta")))))</f>
        <v>Baja</v>
      </c>
      <c r="I17" s="290">
        <f>IF(H17="","",IF(H17="Muy Baja",0.2,IF(H17="Baja",0.4,IF(H17="Media",0.6,IF(H17="Alta",0.8,IF(H17="Muy Alta",1,))))))</f>
        <v>0.4</v>
      </c>
      <c r="J17" s="291" t="s">
        <v>215</v>
      </c>
      <c r="K17" s="450" t="str">
        <f>+J17</f>
        <v>El riesgo afecta la imagen de la entidad con algunos usuarios de relevancia frente al logro de los objetivos.</v>
      </c>
      <c r="L17" s="289" t="str">
        <f>+VLOOKUP(K17,[3]Datos!$O$4:$P$15,2,FALSE)</f>
        <v>Moderado</v>
      </c>
      <c r="M17" s="290">
        <f>IF(L17="","",IF(L17="Leve",0.2,IF(L17="Menor",0.4,IF(L17="Moderado",0.6,IF(L17="Mayor",0.8,IF(L17="Catastrófico",1,))))))</f>
        <v>0.6</v>
      </c>
      <c r="N17" s="293" t="str">
        <f>+CONCATENATE(H17, " - ", L17)</f>
        <v>Baja - Moderado</v>
      </c>
      <c r="O17" s="294" t="str">
        <f>+VLOOKUP(N17,[3]Datos!J4:K28,2,)</f>
        <v>MODERADO</v>
      </c>
      <c r="P17" s="295"/>
      <c r="Q17" s="481">
        <v>1</v>
      </c>
      <c r="R17" s="482" t="s">
        <v>284</v>
      </c>
      <c r="S17" s="298" t="str">
        <f t="shared" ref="S17:S19" si="0">IF(OR(T17="Preventivo",T17="Detectivo"),"Probabilidad",IF(T17="Correctivo","Impacto",""))</f>
        <v>Probabilidad</v>
      </c>
      <c r="T17" s="299" t="s">
        <v>217</v>
      </c>
      <c r="U17" s="299" t="s">
        <v>218</v>
      </c>
      <c r="V17" s="300" t="str">
        <f t="shared" ref="V17:V19" si="1">IF(AND(T17="Preventivo",U17="Automático"),"50%",IF(AND(T17="Preventivo",U17="Manual"),"40%",IF(AND(T17="Detectivo",U17="Automático"),"40%",IF(AND(T17="Detectivo",U17="Manual"),"30%",IF(AND(T17="Correctivo",U17="Automático"),"35%",IF(AND(T17="Correctivo",U17="Manual"),"25%",""))))))</f>
        <v>40%</v>
      </c>
      <c r="W17" s="483" t="s">
        <v>285</v>
      </c>
      <c r="X17" s="483" t="s">
        <v>286</v>
      </c>
      <c r="Y17" s="483" t="s">
        <v>259</v>
      </c>
      <c r="Z17" s="302">
        <f>IFERROR(IF(S17="Probabilidad",(I17-(+I17*V17)),IF(S17="Impacto",I17,"")),"")</f>
        <v>0.24</v>
      </c>
      <c r="AA17" s="303" t="str">
        <f t="shared" ref="AA17:AA19" si="2">IFERROR(IF(Z17="","",IF(Z17&lt;=0.2,"Muy Baja",IF(Z17&lt;=0.4,"Baja",IF(Z17&lt;=0.6,"Media",IF(Z17&lt;=0.8,"Alta","Muy Alta"))))),"")</f>
        <v>Baja</v>
      </c>
      <c r="AB17" s="304">
        <f t="shared" ref="AB17:AB19" si="3">+Z17</f>
        <v>0.24</v>
      </c>
      <c r="AC17" s="305" t="str">
        <f t="shared" ref="AC17:AC19" si="4">IFERROR(IF(AD17="","",IF(AD17&lt;=0.2,"Leve",IF(AD17&lt;=0.4,"Menor",IF(AD17&lt;=0.6,"Moderado",IF(AD17&lt;=0.8,"Mayor","Catastrófico"))))),"")</f>
        <v>Moderado</v>
      </c>
      <c r="AD17" s="302">
        <f>IFERROR(IF(S17="Impacto",(M17-(+M17*V17)),IF(S17="Probabilidad",M17,"")),"")</f>
        <v>0.6</v>
      </c>
      <c r="AE17" s="306" t="str">
        <f>+CONCATENATE(AA17, " - ", AC17)</f>
        <v>Baja - Moderado</v>
      </c>
      <c r="AF17" s="307" t="str">
        <f>+VLOOKUP(AE17,[3]Datos!$J$4:$K$28,2,)</f>
        <v>MODERADO</v>
      </c>
      <c r="AG17" s="484" t="s">
        <v>287</v>
      </c>
      <c r="AH17" s="295"/>
      <c r="AI17" s="456" t="s">
        <v>288</v>
      </c>
      <c r="AJ17" s="310" t="s">
        <v>289</v>
      </c>
      <c r="AK17" s="457" t="s">
        <v>290</v>
      </c>
      <c r="AM17" s="485">
        <v>45182</v>
      </c>
      <c r="AN17" s="486" t="s">
        <v>291</v>
      </c>
      <c r="AO17" s="487" t="s">
        <v>292</v>
      </c>
      <c r="AP17" s="488"/>
      <c r="AQ17" s="488"/>
      <c r="AR17" s="2"/>
      <c r="AS17" s="489" t="s">
        <v>293</v>
      </c>
      <c r="AT17" s="490" t="s">
        <v>294</v>
      </c>
    </row>
    <row r="18" spans="1:48" ht="201" customHeight="1" x14ac:dyDescent="0.25">
      <c r="A18" s="416"/>
      <c r="B18" s="417"/>
      <c r="C18" s="378"/>
      <c r="D18" s="378"/>
      <c r="E18" s="378"/>
      <c r="F18" s="491"/>
      <c r="G18" s="377"/>
      <c r="H18" s="422"/>
      <c r="I18" s="423"/>
      <c r="J18" s="325"/>
      <c r="K18" s="384"/>
      <c r="L18" s="422"/>
      <c r="M18" s="423"/>
      <c r="N18" s="324"/>
      <c r="O18" s="327"/>
      <c r="P18" s="240"/>
      <c r="Q18" s="296">
        <v>2</v>
      </c>
      <c r="R18" s="492" t="s">
        <v>295</v>
      </c>
      <c r="S18" s="425" t="str">
        <f t="shared" si="0"/>
        <v>Probabilidad</v>
      </c>
      <c r="T18" s="426" t="s">
        <v>296</v>
      </c>
      <c r="U18" s="426" t="s">
        <v>218</v>
      </c>
      <c r="V18" s="427" t="str">
        <f t="shared" si="1"/>
        <v>30%</v>
      </c>
      <c r="W18" s="483" t="s">
        <v>297</v>
      </c>
      <c r="X18" s="301" t="s">
        <v>227</v>
      </c>
      <c r="Y18" s="301" t="s">
        <v>298</v>
      </c>
      <c r="Z18" s="405">
        <f>IFERROR(IF(AND(S17="Probabilidad",S18="Probabilidad"),(AB17-(+AB17*V18)),IF(S18="Probabilidad",(I17-(+I17*V18)),IF(S18="Impacto",AB17,""))),"")</f>
        <v>0.16799999999999998</v>
      </c>
      <c r="AA18" s="406" t="str">
        <f t="shared" si="2"/>
        <v>Muy Baja</v>
      </c>
      <c r="AB18" s="430">
        <f t="shared" si="3"/>
        <v>0.16799999999999998</v>
      </c>
      <c r="AC18" s="407" t="str">
        <f t="shared" si="4"/>
        <v>Moderado</v>
      </c>
      <c r="AD18" s="405">
        <f>IFERROR(IF(AND(S17="Impacto",S17="Impacto"),(AD17-(+AD17*V18)),IF(S18="Impacto",(M17-(+M17*V18)),IF(S18="Probabilidad",AD17,""))),"")</f>
        <v>0.6</v>
      </c>
      <c r="AE18" s="408" t="str">
        <f t="shared" ref="AE18:AE19" si="5">+CONCATENATE(AA18, " - ", AC18)</f>
        <v>Muy Baja - Moderado</v>
      </c>
      <c r="AF18" s="409" t="str">
        <f>+VLOOKUP(AE18,[3]Datos!$J$4:$K$28,2,)</f>
        <v>MODERADO</v>
      </c>
      <c r="AG18" s="493"/>
      <c r="AH18" s="240"/>
      <c r="AI18" s="494"/>
      <c r="AJ18" s="341"/>
      <c r="AK18" s="495"/>
      <c r="AM18" s="496"/>
      <c r="AN18" s="497"/>
      <c r="AO18" s="498"/>
      <c r="AP18" s="496"/>
      <c r="AQ18" s="496"/>
      <c r="AR18" s="1"/>
      <c r="AS18" s="489"/>
      <c r="AT18" s="490" t="s">
        <v>299</v>
      </c>
    </row>
    <row r="19" spans="1:48" ht="201" customHeight="1" thickBot="1" x14ac:dyDescent="0.3">
      <c r="A19" s="353"/>
      <c r="B19" s="354"/>
      <c r="C19" s="418"/>
      <c r="D19" s="418"/>
      <c r="E19" s="418"/>
      <c r="F19" s="499"/>
      <c r="G19" s="417"/>
      <c r="H19" s="358"/>
      <c r="I19" s="359"/>
      <c r="J19" s="360"/>
      <c r="K19" s="361"/>
      <c r="L19" s="358"/>
      <c r="M19" s="359"/>
      <c r="N19" s="362"/>
      <c r="O19" s="363"/>
      <c r="P19" s="500"/>
      <c r="Q19" s="436">
        <v>3</v>
      </c>
      <c r="R19" s="329" t="s">
        <v>300</v>
      </c>
      <c r="S19" s="437" t="str">
        <f t="shared" si="0"/>
        <v>Impacto</v>
      </c>
      <c r="T19" s="438" t="s">
        <v>234</v>
      </c>
      <c r="U19" s="438" t="s">
        <v>218</v>
      </c>
      <c r="V19" s="439" t="str">
        <f t="shared" si="1"/>
        <v>25%</v>
      </c>
      <c r="W19" s="331" t="s">
        <v>301</v>
      </c>
      <c r="X19" s="331" t="s">
        <v>302</v>
      </c>
      <c r="Y19" s="331" t="s">
        <v>303</v>
      </c>
      <c r="Z19" s="440">
        <f>IFERROR(IF(AND(S18="Probabilidad",S19="Probabilidad"),(AB18-(+AB18*V19)),IF(S19="Probabilidad",(I18-(+I18*V19)),IF(S19="Impacto",AB18,""))),"")</f>
        <v>0.16799999999999998</v>
      </c>
      <c r="AA19" s="466" t="str">
        <f t="shared" si="2"/>
        <v>Muy Baja</v>
      </c>
      <c r="AB19" s="441">
        <f t="shared" si="3"/>
        <v>0.16799999999999998</v>
      </c>
      <c r="AC19" s="442" t="str">
        <f t="shared" si="4"/>
        <v>Leve</v>
      </c>
      <c r="AD19" s="440">
        <f>IFERROR(IF(AND(S18="Impacto",S18="Impacto"),(AD18-(+AD18*V19)),IF(S19="Impacto",(M18-(+M18*V19)),IF(S19="Probabilidad",AD18,""))),"")</f>
        <v>0</v>
      </c>
      <c r="AE19" s="443" t="str">
        <f t="shared" si="5"/>
        <v>Muy Baja - Leve</v>
      </c>
      <c r="AF19" s="444" t="str">
        <f>+VLOOKUP(AE19,[3]Datos!$J$4:$K$28,2,)</f>
        <v>BAJO</v>
      </c>
      <c r="AG19" s="501"/>
      <c r="AH19" s="500"/>
      <c r="AI19" s="468"/>
      <c r="AJ19" s="367"/>
      <c r="AK19" s="469"/>
      <c r="AM19" s="502"/>
      <c r="AN19" s="503"/>
      <c r="AO19" s="504"/>
      <c r="AP19" s="502"/>
      <c r="AQ19" s="502"/>
      <c r="AR19" s="1"/>
      <c r="AS19" s="489"/>
      <c r="AT19" s="490" t="s">
        <v>304</v>
      </c>
      <c r="AV19" s="505"/>
    </row>
    <row r="20" spans="1:48" x14ac:dyDescent="0.25">
      <c r="P20" s="240"/>
      <c r="AR20" s="1"/>
    </row>
    <row r="21" spans="1:48" x14ac:dyDescent="0.25">
      <c r="P21" s="240"/>
    </row>
    <row r="22" spans="1:48" x14ac:dyDescent="0.25">
      <c r="P22" s="240"/>
    </row>
    <row r="23" spans="1:48" x14ac:dyDescent="0.25">
      <c r="P23" s="240"/>
    </row>
    <row r="24" spans="1:48" x14ac:dyDescent="0.25">
      <c r="P24" s="240"/>
    </row>
    <row r="25" spans="1:48" x14ac:dyDescent="0.25">
      <c r="P25" s="240"/>
    </row>
    <row r="26" spans="1:48" x14ac:dyDescent="0.25">
      <c r="P26" s="240"/>
    </row>
    <row r="27" spans="1:48" x14ac:dyDescent="0.25">
      <c r="P27" s="240"/>
    </row>
    <row r="28" spans="1:48" x14ac:dyDescent="0.25">
      <c r="P28" s="240"/>
    </row>
    <row r="29" spans="1:48" x14ac:dyDescent="0.25">
      <c r="P29" s="240"/>
    </row>
  </sheetData>
  <mergeCells count="49">
    <mergeCell ref="AS17:AS19"/>
    <mergeCell ref="AK17:AK19"/>
    <mergeCell ref="AM17:AM19"/>
    <mergeCell ref="AN17:AN19"/>
    <mergeCell ref="AO17:AO19"/>
    <mergeCell ref="AP17:AP19"/>
    <mergeCell ref="AQ17:AQ19"/>
    <mergeCell ref="M17:M19"/>
    <mergeCell ref="N17:N19"/>
    <mergeCell ref="O17:O19"/>
    <mergeCell ref="AG17:AG19"/>
    <mergeCell ref="AI17:AI19"/>
    <mergeCell ref="AJ17:AJ19"/>
    <mergeCell ref="G17:G19"/>
    <mergeCell ref="H17:H19"/>
    <mergeCell ref="I17:I19"/>
    <mergeCell ref="J17:J19"/>
    <mergeCell ref="K17:K19"/>
    <mergeCell ref="L17:L19"/>
    <mergeCell ref="A17:A19"/>
    <mergeCell ref="B17:B19"/>
    <mergeCell ref="C17:C19"/>
    <mergeCell ref="D17:D19"/>
    <mergeCell ref="E17:E19"/>
    <mergeCell ref="F17:F19"/>
    <mergeCell ref="A14:O15"/>
    <mergeCell ref="Q14:AG14"/>
    <mergeCell ref="AI14:AK15"/>
    <mergeCell ref="AM14:AQ15"/>
    <mergeCell ref="AS14:AT15"/>
    <mergeCell ref="T15:Y15"/>
    <mergeCell ref="Z15:AG15"/>
    <mergeCell ref="AS7:AT8"/>
    <mergeCell ref="A10:C10"/>
    <mergeCell ref="D10:M10"/>
    <mergeCell ref="A11:C11"/>
    <mergeCell ref="D11:M11"/>
    <mergeCell ref="A12:C12"/>
    <mergeCell ref="D12:M12"/>
    <mergeCell ref="A1:B8"/>
    <mergeCell ref="C1:AP4"/>
    <mergeCell ref="AQ1:AR2"/>
    <mergeCell ref="AS1:AT2"/>
    <mergeCell ref="AQ3:AR4"/>
    <mergeCell ref="AS3:AT4"/>
    <mergeCell ref="C5:AP8"/>
    <mergeCell ref="AQ5:AR6"/>
    <mergeCell ref="AS5:AT6"/>
    <mergeCell ref="AQ7:AR8"/>
  </mergeCells>
  <conditionalFormatting sqref="H17:H19">
    <cfRule type="cellIs" dxfId="56" priority="24" operator="equal">
      <formula>"Muy Alta"</formula>
    </cfRule>
    <cfRule type="cellIs" dxfId="55" priority="25" operator="equal">
      <formula>"Alta"</formula>
    </cfRule>
    <cfRule type="cellIs" dxfId="54" priority="26" operator="equal">
      <formula>"Media"</formula>
    </cfRule>
    <cfRule type="cellIs" dxfId="53" priority="27" operator="equal">
      <formula>"Muy Baja"</formula>
    </cfRule>
    <cfRule type="cellIs" dxfId="52" priority="28" operator="equal">
      <formula>"Baja"</formula>
    </cfRule>
  </conditionalFormatting>
  <conditionalFormatting sqref="L17:L19">
    <cfRule type="cellIs" dxfId="51" priority="19" operator="equal">
      <formula>"Leve"</formula>
    </cfRule>
    <cfRule type="cellIs" dxfId="50" priority="20" operator="equal">
      <formula>"Catastrófico"</formula>
    </cfRule>
    <cfRule type="cellIs" dxfId="49" priority="21" operator="equal">
      <formula>"Mayor"</formula>
    </cfRule>
    <cfRule type="cellIs" dxfId="48" priority="22" operator="equal">
      <formula>"Moderado"</formula>
    </cfRule>
    <cfRule type="cellIs" dxfId="47" priority="23" operator="equal">
      <formula>"Menor"</formula>
    </cfRule>
  </conditionalFormatting>
  <conditionalFormatting sqref="O17:O19">
    <cfRule type="cellIs" dxfId="46" priority="15" operator="equal">
      <formula>"EXTREMO"</formula>
    </cfRule>
    <cfRule type="cellIs" dxfId="45" priority="16" operator="equal">
      <formula>"ALTO"</formula>
    </cfRule>
    <cfRule type="cellIs" dxfId="44" priority="17" operator="equal">
      <formula>"BAJO"</formula>
    </cfRule>
    <cfRule type="cellIs" dxfId="43" priority="18" operator="equal">
      <formula>"MODERADO"</formula>
    </cfRule>
  </conditionalFormatting>
  <conditionalFormatting sqref="AA17:AA19">
    <cfRule type="cellIs" dxfId="42" priority="10" operator="equal">
      <formula>"Muy Baja"</formula>
    </cfRule>
    <cfRule type="cellIs" dxfId="41" priority="11" operator="equal">
      <formula>"Baja"</formula>
    </cfRule>
    <cfRule type="cellIs" dxfId="40" priority="12" operator="equal">
      <formula>"Media"</formula>
    </cfRule>
    <cfRule type="cellIs" dxfId="39" priority="13" operator="equal">
      <formula>"Muy Alta"</formula>
    </cfRule>
    <cfRule type="cellIs" dxfId="38" priority="14" operator="equal">
      <formula>"Alta"</formula>
    </cfRule>
  </conditionalFormatting>
  <conditionalFormatting sqref="AC17:AC19">
    <cfRule type="cellIs" dxfId="37" priority="5" operator="equal">
      <formula>"Catastrófico"</formula>
    </cfRule>
    <cfRule type="cellIs" dxfId="36" priority="6" operator="equal">
      <formula>"Mayor"</formula>
    </cfRule>
    <cfRule type="cellIs" dxfId="35" priority="7" operator="equal">
      <formula>"Moderado"</formula>
    </cfRule>
    <cfRule type="cellIs" dxfId="34" priority="8" operator="equal">
      <formula>"Menor"</formula>
    </cfRule>
    <cfRule type="cellIs" dxfId="33" priority="9" operator="equal">
      <formula>"Leve"</formula>
    </cfRule>
  </conditionalFormatting>
  <conditionalFormatting sqref="AF17:AF19">
    <cfRule type="cellIs" dxfId="32" priority="1" operator="equal">
      <formula>"EXTREMO"</formula>
    </cfRule>
    <cfRule type="cellIs" dxfId="31" priority="2" operator="equal">
      <formula>"ALTO"</formula>
    </cfRule>
    <cfRule type="cellIs" dxfId="30" priority="3" operator="equal">
      <formula>"BAJO"</formula>
    </cfRule>
    <cfRule type="cellIs" dxfId="29"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'C:\Users\caguerra\Downloads\[Mapa de Riesgos de Gestión - Gestión del Conocimiento III Seguimiento.xlsx]Datos'!#REF!</xm:f>
          </x14:formula1>
          <xm:sqref>U17:U19</xm:sqref>
        </x14:dataValidation>
        <x14:dataValidation type="list" allowBlank="1" showInputMessage="1" showErrorMessage="1">
          <x14:formula1>
            <xm:f>'C:\Users\caguerra\Downloads\[Mapa de Riesgos de Gestión - Gestión del Conocimiento III Seguimiento.xlsx]Datos'!#REF!</xm:f>
          </x14:formula1>
          <xm:sqref>T17:T19</xm:sqref>
        </x14:dataValidation>
        <x14:dataValidation type="list" allowBlank="1" showInputMessage="1" showErrorMessage="1">
          <x14:formula1>
            <xm:f>'C:\Users\caguerra\Downloads\[Mapa de Riesgos de Gestión - Gestión del Conocimiento III Seguimiento.xlsx]Datos'!#REF!</xm:f>
          </x14:formula1>
          <xm:sqref>J17:J19</xm:sqref>
        </x14:dataValidation>
        <x14:dataValidation type="list" allowBlank="1" showInputMessage="1" showErrorMessage="1">
          <x14:formula1>
            <xm:f>'C:\Users\caguerra\Downloads\[Mapa de Riesgos de Gestión - Gestión del Conocimiento III Seguimiento.xlsx]Datos'!#REF!</xm:f>
          </x14:formula1>
          <xm:sqref>B17:B19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3"/>
  <sheetViews>
    <sheetView showGridLines="0" tabSelected="1" topLeftCell="A22" zoomScale="70" zoomScaleNormal="70" zoomScaleSheetLayoutView="90" workbookViewId="0">
      <selection activeCell="H42" sqref="H42"/>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1" width="25.42578125" customWidth="1"/>
    <col min="12" max="12" width="20.140625" style="234" customWidth="1"/>
    <col min="13" max="13" width="9.42578125" style="234" customWidth="1"/>
    <col min="14" max="14" width="26.85546875" style="234" customWidth="1"/>
    <col min="15" max="15" width="11.28515625" style="234" customWidth="1"/>
    <col min="16" max="16" width="1" style="234" customWidth="1"/>
    <col min="17" max="17" width="5.140625" style="234" customWidth="1"/>
    <col min="18" max="18" width="64.140625" style="234" customWidth="1"/>
    <col min="19" max="19" width="15.85546875" style="234" customWidth="1"/>
    <col min="20" max="22" width="5.140625" style="234" customWidth="1"/>
    <col min="23" max="24" width="11.42578125" style="234" customWidth="1"/>
    <col min="25" max="25" width="15.85546875" style="234" customWidth="1"/>
    <col min="26" max="27" width="7.28515625" style="234" customWidth="1"/>
    <col min="28" max="28" width="13.7109375" style="234" customWidth="1"/>
    <col min="29" max="29" width="8" style="234" customWidth="1"/>
    <col min="30" max="31" width="7.28515625" style="234" customWidth="1"/>
    <col min="32" max="32" width="9.28515625" style="234" customWidth="1"/>
    <col min="33" max="33" width="8.5703125" style="473" customWidth="1"/>
    <col min="34" max="34" width="6" style="473" customWidth="1"/>
    <col min="35" max="35" width="26.85546875" style="473" customWidth="1"/>
    <col min="36" max="36" width="26.7109375" style="234" customWidth="1"/>
    <col min="37" max="37" width="20.85546875" style="234" customWidth="1"/>
    <col min="38" max="38" width="1" customWidth="1"/>
    <col min="39" max="39" width="18.28515625" customWidth="1"/>
    <col min="40" max="43" width="45" customWidth="1"/>
    <col min="44" max="44" width="1" customWidth="1"/>
    <col min="45" max="45" width="45" customWidth="1"/>
    <col min="46" max="46" width="69.5703125" customWidth="1"/>
  </cols>
  <sheetData>
    <row r="1" spans="1:48" ht="15.75" customHeight="1" x14ac:dyDescent="0.25">
      <c r="A1" s="204"/>
      <c r="B1" s="205"/>
      <c r="C1" s="206" t="s">
        <v>305</v>
      </c>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8"/>
      <c r="AQ1" s="204" t="s">
        <v>62</v>
      </c>
      <c r="AR1" s="205"/>
      <c r="AS1" s="209" t="s">
        <v>306</v>
      </c>
      <c r="AT1" s="210"/>
    </row>
    <row r="2" spans="1:48" ht="15.75" customHeight="1" thickBot="1" x14ac:dyDescent="0.3">
      <c r="A2" s="211"/>
      <c r="B2" s="212"/>
      <c r="C2" s="213"/>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5"/>
      <c r="AQ2" s="216"/>
      <c r="AR2" s="217"/>
      <c r="AS2" s="218"/>
      <c r="AT2" s="219"/>
    </row>
    <row r="3" spans="1:48" ht="15.75" customHeight="1" x14ac:dyDescent="0.25">
      <c r="A3" s="211"/>
      <c r="B3" s="212"/>
      <c r="C3" s="213"/>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5"/>
      <c r="AQ3" s="204" t="s">
        <v>64</v>
      </c>
      <c r="AR3" s="205"/>
      <c r="AS3" s="220" t="s">
        <v>307</v>
      </c>
      <c r="AT3" s="221"/>
    </row>
    <row r="4" spans="1:48" ht="16.5" customHeight="1" thickBot="1" x14ac:dyDescent="0.3">
      <c r="A4" s="211"/>
      <c r="B4" s="212"/>
      <c r="C4" s="222"/>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4"/>
      <c r="AQ4" s="216"/>
      <c r="AR4" s="217"/>
      <c r="AS4" s="225"/>
      <c r="AT4" s="226"/>
    </row>
    <row r="5" spans="1:48" ht="20.45" customHeight="1" x14ac:dyDescent="0.25">
      <c r="A5" s="211"/>
      <c r="B5" s="212"/>
      <c r="C5" s="213" t="s">
        <v>164</v>
      </c>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5"/>
      <c r="AQ5" s="204" t="s">
        <v>67</v>
      </c>
      <c r="AR5" s="205"/>
      <c r="AS5" s="204" t="s">
        <v>165</v>
      </c>
      <c r="AT5" s="205"/>
    </row>
    <row r="6" spans="1:48" ht="15" customHeight="1" thickBot="1" x14ac:dyDescent="0.3">
      <c r="A6" s="211"/>
      <c r="B6" s="212"/>
      <c r="C6" s="213"/>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5"/>
      <c r="AQ6" s="216"/>
      <c r="AR6" s="217"/>
      <c r="AS6" s="216"/>
      <c r="AT6" s="217"/>
    </row>
    <row r="7" spans="1:48" ht="15.75" customHeight="1" x14ac:dyDescent="0.25">
      <c r="A7" s="211"/>
      <c r="B7" s="212"/>
      <c r="C7" s="213"/>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5"/>
      <c r="AQ7" s="204" t="s">
        <v>69</v>
      </c>
      <c r="AR7" s="205"/>
      <c r="AS7" s="227">
        <v>44651</v>
      </c>
      <c r="AT7" s="210"/>
    </row>
    <row r="8" spans="1:48" ht="16.5" customHeight="1" thickBot="1" x14ac:dyDescent="0.3">
      <c r="A8" s="216"/>
      <c r="B8" s="217"/>
      <c r="C8" s="222"/>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4"/>
      <c r="AQ8" s="216"/>
      <c r="AR8" s="217"/>
      <c r="AS8" s="218"/>
      <c r="AT8" s="219"/>
    </row>
    <row r="9" spans="1:48" x14ac:dyDescent="0.25">
      <c r="AV9" s="318"/>
    </row>
    <row r="10" spans="1:48" ht="54" customHeight="1" x14ac:dyDescent="0.25">
      <c r="A10" s="228" t="s">
        <v>166</v>
      </c>
      <c r="B10" s="228"/>
      <c r="C10" s="228"/>
      <c r="D10" s="229" t="s">
        <v>308</v>
      </c>
      <c r="E10" s="230"/>
      <c r="F10" s="230"/>
      <c r="G10" s="230"/>
      <c r="H10" s="230"/>
      <c r="I10" s="230"/>
      <c r="J10" s="230"/>
      <c r="K10" s="230"/>
      <c r="L10" s="230"/>
      <c r="M10" s="231"/>
      <c r="N10" s="479"/>
      <c r="AG10" s="234"/>
      <c r="AH10" s="234"/>
      <c r="AI10" s="234"/>
      <c r="AS10" s="318"/>
    </row>
    <row r="11" spans="1:48" s="241" customFormat="1" ht="75" customHeight="1" x14ac:dyDescent="0.25">
      <c r="A11" s="228" t="s">
        <v>168</v>
      </c>
      <c r="B11" s="228"/>
      <c r="C11" s="228"/>
      <c r="D11" s="235" t="s">
        <v>309</v>
      </c>
      <c r="E11" s="242"/>
      <c r="F11" s="242"/>
      <c r="G11" s="242"/>
      <c r="H11" s="242"/>
      <c r="I11" s="242"/>
      <c r="J11" s="242"/>
      <c r="K11" s="242"/>
      <c r="L11" s="242"/>
      <c r="M11" s="243"/>
      <c r="N11" s="48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row>
    <row r="12" spans="1:48" s="241" customFormat="1" ht="75" customHeight="1" x14ac:dyDescent="0.25">
      <c r="A12" s="228" t="s">
        <v>170</v>
      </c>
      <c r="B12" s="228"/>
      <c r="C12" s="228"/>
      <c r="D12" s="235" t="s">
        <v>310</v>
      </c>
      <c r="E12" s="242"/>
      <c r="F12" s="242"/>
      <c r="G12" s="242"/>
      <c r="H12" s="242"/>
      <c r="I12" s="242"/>
      <c r="J12" s="242"/>
      <c r="K12" s="242"/>
      <c r="L12" s="242"/>
      <c r="M12" s="243"/>
      <c r="N12" s="48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row>
    <row r="13" spans="1:48" s="241" customFormat="1" ht="24.75" customHeight="1" thickBot="1" x14ac:dyDescent="0.3">
      <c r="A13" s="244"/>
      <c r="B13" s="244"/>
      <c r="C13" s="244"/>
      <c r="D13" s="244"/>
      <c r="E13" s="244"/>
      <c r="F13" s="244"/>
      <c r="G13" s="244"/>
      <c r="H13" s="244"/>
      <c r="I13" s="244"/>
      <c r="J13" s="244"/>
      <c r="K13" s="244"/>
      <c r="L13" s="244"/>
      <c r="M13" s="244"/>
      <c r="N13" s="244"/>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row>
    <row r="14" spans="1:48" s="241" customFormat="1" ht="24.75" customHeight="1" x14ac:dyDescent="0.25">
      <c r="A14" s="245" t="s">
        <v>81</v>
      </c>
      <c r="B14" s="246"/>
      <c r="C14" s="246"/>
      <c r="D14" s="246"/>
      <c r="E14" s="246"/>
      <c r="F14" s="246"/>
      <c r="G14" s="246"/>
      <c r="H14" s="246"/>
      <c r="I14" s="246"/>
      <c r="J14" s="246"/>
      <c r="K14" s="246"/>
      <c r="L14" s="246"/>
      <c r="M14" s="246"/>
      <c r="N14" s="247"/>
      <c r="O14" s="248"/>
      <c r="P14" s="240"/>
      <c r="Q14" s="249" t="s">
        <v>82</v>
      </c>
      <c r="R14" s="250"/>
      <c r="S14" s="250"/>
      <c r="T14" s="251"/>
      <c r="U14" s="251"/>
      <c r="V14" s="251"/>
      <c r="W14" s="251"/>
      <c r="X14" s="251"/>
      <c r="Y14" s="251"/>
      <c r="Z14" s="250"/>
      <c r="AA14" s="250"/>
      <c r="AB14" s="250"/>
      <c r="AC14" s="250"/>
      <c r="AD14" s="250"/>
      <c r="AE14" s="250"/>
      <c r="AF14" s="250"/>
      <c r="AG14" s="252"/>
      <c r="AH14" s="240"/>
      <c r="AI14" s="253" t="s">
        <v>172</v>
      </c>
      <c r="AJ14" s="254"/>
      <c r="AK14" s="255"/>
      <c r="AM14" s="253" t="s">
        <v>83</v>
      </c>
      <c r="AN14" s="254"/>
      <c r="AO14" s="254"/>
      <c r="AP14" s="254"/>
      <c r="AQ14" s="254"/>
      <c r="AR14" s="1"/>
      <c r="AS14" s="253" t="s">
        <v>84</v>
      </c>
      <c r="AT14" s="255"/>
    </row>
    <row r="15" spans="1:48" x14ac:dyDescent="0.25">
      <c r="A15" s="256"/>
      <c r="B15" s="257"/>
      <c r="C15" s="257"/>
      <c r="D15" s="257"/>
      <c r="E15" s="257"/>
      <c r="F15" s="257"/>
      <c r="G15" s="257"/>
      <c r="H15" s="257"/>
      <c r="I15" s="257"/>
      <c r="J15" s="257"/>
      <c r="K15" s="257"/>
      <c r="L15" s="257"/>
      <c r="M15" s="257"/>
      <c r="N15" s="258"/>
      <c r="O15" s="259"/>
      <c r="P15" s="240"/>
      <c r="Q15" s="260"/>
      <c r="R15" s="261"/>
      <c r="S15" s="261"/>
      <c r="T15" s="262" t="s">
        <v>173</v>
      </c>
      <c r="U15" s="262"/>
      <c r="V15" s="262"/>
      <c r="W15" s="262"/>
      <c r="X15" s="262"/>
      <c r="Y15" s="262"/>
      <c r="Z15" s="263"/>
      <c r="AA15" s="263"/>
      <c r="AB15" s="263"/>
      <c r="AC15" s="263"/>
      <c r="AD15" s="263"/>
      <c r="AE15" s="263"/>
      <c r="AF15" s="263"/>
      <c r="AG15" s="264"/>
      <c r="AH15" s="240"/>
      <c r="AI15" s="265"/>
      <c r="AJ15" s="266"/>
      <c r="AK15" s="267"/>
      <c r="AM15" s="265"/>
      <c r="AN15" s="266"/>
      <c r="AO15" s="266"/>
      <c r="AP15" s="266"/>
      <c r="AQ15" s="266"/>
      <c r="AR15" s="1"/>
      <c r="AS15" s="265"/>
      <c r="AT15" s="267"/>
    </row>
    <row r="16" spans="1:48" s="282" customFormat="1" ht="106.5" customHeight="1" thickBot="1" x14ac:dyDescent="0.3">
      <c r="A16" s="268" t="s">
        <v>174</v>
      </c>
      <c r="B16" s="269" t="s">
        <v>175</v>
      </c>
      <c r="C16" s="270" t="s">
        <v>176</v>
      </c>
      <c r="D16" s="270" t="s">
        <v>177</v>
      </c>
      <c r="E16" s="271" t="s">
        <v>178</v>
      </c>
      <c r="F16" s="272" t="s">
        <v>179</v>
      </c>
      <c r="G16" s="273" t="s">
        <v>180</v>
      </c>
      <c r="H16" s="271" t="s">
        <v>181</v>
      </c>
      <c r="I16" s="270" t="s">
        <v>182</v>
      </c>
      <c r="J16" s="270" t="s">
        <v>183</v>
      </c>
      <c r="K16" s="271" t="s">
        <v>311</v>
      </c>
      <c r="L16" s="271" t="s">
        <v>185</v>
      </c>
      <c r="M16" s="270" t="s">
        <v>182</v>
      </c>
      <c r="N16" s="270" t="s">
        <v>186</v>
      </c>
      <c r="O16" s="274" t="s">
        <v>187</v>
      </c>
      <c r="P16" s="240"/>
      <c r="Q16" s="275" t="s">
        <v>188</v>
      </c>
      <c r="R16" s="276" t="s">
        <v>189</v>
      </c>
      <c r="S16" s="277" t="s">
        <v>190</v>
      </c>
      <c r="T16" s="278" t="s">
        <v>191</v>
      </c>
      <c r="U16" s="278" t="s">
        <v>192</v>
      </c>
      <c r="V16" s="278" t="s">
        <v>193</v>
      </c>
      <c r="W16" s="278" t="s">
        <v>194</v>
      </c>
      <c r="X16" s="278" t="s">
        <v>195</v>
      </c>
      <c r="Y16" s="278" t="s">
        <v>196</v>
      </c>
      <c r="Z16" s="279" t="s">
        <v>197</v>
      </c>
      <c r="AA16" s="279" t="s">
        <v>198</v>
      </c>
      <c r="AB16" s="279" t="s">
        <v>182</v>
      </c>
      <c r="AC16" s="279" t="s">
        <v>199</v>
      </c>
      <c r="AD16" s="279" t="s">
        <v>182</v>
      </c>
      <c r="AE16" s="279" t="s">
        <v>186</v>
      </c>
      <c r="AF16" s="279" t="s">
        <v>200</v>
      </c>
      <c r="AG16" s="274" t="s">
        <v>201</v>
      </c>
      <c r="AH16" s="240"/>
      <c r="AI16" s="280" t="s">
        <v>202</v>
      </c>
      <c r="AJ16" s="276" t="s">
        <v>203</v>
      </c>
      <c r="AK16" s="281" t="s">
        <v>204</v>
      </c>
      <c r="AM16" s="283" t="s">
        <v>205</v>
      </c>
      <c r="AN16" s="283" t="s">
        <v>206</v>
      </c>
      <c r="AO16" s="283" t="s">
        <v>207</v>
      </c>
      <c r="AP16" s="283" t="s">
        <v>208</v>
      </c>
      <c r="AQ16" s="283" t="s">
        <v>209</v>
      </c>
      <c r="AR16" s="2"/>
      <c r="AS16" s="283" t="s">
        <v>115</v>
      </c>
      <c r="AT16" s="284" t="s">
        <v>210</v>
      </c>
    </row>
    <row r="17" spans="1:48" ht="134.25" customHeight="1" x14ac:dyDescent="0.25">
      <c r="A17" s="285">
        <v>1</v>
      </c>
      <c r="B17" s="286" t="s">
        <v>211</v>
      </c>
      <c r="C17" s="287" t="s">
        <v>312</v>
      </c>
      <c r="D17" s="287" t="s">
        <v>313</v>
      </c>
      <c r="E17" s="287" t="s">
        <v>314</v>
      </c>
      <c r="F17" s="288"/>
      <c r="G17" s="286">
        <v>365</v>
      </c>
      <c r="H17" s="286" t="str">
        <f>IF(G17&lt;=0,"",IF(G17&lt;=2,"Muy Baja",IF(G17&lt;=24,"Baja",IF(G17&lt;=500,"Media",IF(G17&lt;=5000,"Alta","Muy Alta")))))</f>
        <v>Media</v>
      </c>
      <c r="I17" s="506">
        <f>IF(H17="","",IF(H17="Muy Baja",0.2,IF(H17="Baja",0.4,IF(H17="Media",0.6,IF(H17="Alta",0.8,IF(H17="Muy Alta",1,))))))</f>
        <v>0.6</v>
      </c>
      <c r="J17" s="291" t="s">
        <v>215</v>
      </c>
      <c r="K17" s="292" t="str">
        <f>+J17</f>
        <v>El riesgo afecta la imagen de la entidad con algunos usuarios de relevancia frente al logro de los objetivos.</v>
      </c>
      <c r="L17" s="286" t="str">
        <f>+VLOOKUP(K17,[4]Datos!$O$4:$P$15,2,FALSE)</f>
        <v>Moderado</v>
      </c>
      <c r="M17" s="506">
        <f>IF(L17="","",IF(L17="Leve",0.2,IF(L17="Menor",0.4,IF(L17="Moderado",0.6,IF(L17="Mayor",0.8,IF(L17="Catastrófico",1,))))))</f>
        <v>0.6</v>
      </c>
      <c r="N17" s="507" t="str">
        <f>+CONCATENATE(H17, " - ", L17)</f>
        <v>Media - Moderado</v>
      </c>
      <c r="O17" s="508" t="str">
        <f>+VLOOKUP(N17,[4]Datos!J4:K28,2,)</f>
        <v>MODERADO</v>
      </c>
      <c r="P17" s="295"/>
      <c r="Q17" s="481">
        <v>1</v>
      </c>
      <c r="R17" s="509" t="s">
        <v>315</v>
      </c>
      <c r="S17" s="510" t="str">
        <f t="shared" ref="S17:S23" si="0">IF(OR(T17="Preventivo",T17="Detectivo"),"Probabilidad",IF(T17="Correctivo","Impacto",""))</f>
        <v>Probabilidad</v>
      </c>
      <c r="T17" s="299" t="s">
        <v>217</v>
      </c>
      <c r="U17" s="299" t="s">
        <v>218</v>
      </c>
      <c r="V17" s="511" t="str">
        <f t="shared" ref="V17:V23" si="1">IF(AND(T17="Preventivo",U17="Automático"),"50%",IF(AND(T17="Preventivo",U17="Manual"),"40%",IF(AND(T17="Detectivo",U17="Automático"),"40%",IF(AND(T17="Detectivo",U17="Manual"),"30%",IF(AND(T17="Correctivo",U17="Automático"),"35%",IF(AND(T17="Correctivo",U17="Manual"),"25%",""))))))</f>
        <v>40%</v>
      </c>
      <c r="W17" s="299" t="s">
        <v>230</v>
      </c>
      <c r="X17" s="512" t="s">
        <v>316</v>
      </c>
      <c r="Y17" s="483" t="s">
        <v>317</v>
      </c>
      <c r="Z17" s="513">
        <f>IFERROR(IF(S17="Probabilidad",(I17-(+I17*V17)),IF(S17="Impacto",I17,"")),"")</f>
        <v>0.36</v>
      </c>
      <c r="AA17" s="299" t="str">
        <f t="shared" ref="AA17:AA23" si="2">IFERROR(IF(Z17="","",IF(Z17&lt;=0.2,"Muy Baja",IF(Z17&lt;=0.4,"Baja",IF(Z17&lt;=0.6,"Media",IF(Z17&lt;=0.8,"Alta","Muy Alta"))))),"")</f>
        <v>Baja</v>
      </c>
      <c r="AB17" s="514">
        <f t="shared" ref="AB17:AB23" si="3">+Z17</f>
        <v>0.36</v>
      </c>
      <c r="AC17" s="515" t="str">
        <f t="shared" ref="AC17:AC23" si="4">IFERROR(IF(AD17="","",IF(AD17&lt;=0.2,"Leve",IF(AD17&lt;=0.4,"Menor",IF(AD17&lt;=0.6,"Moderado",IF(AD17&lt;=0.8,"Mayor","Catastrófico"))))),"")</f>
        <v>Moderado</v>
      </c>
      <c r="AD17" s="513">
        <f>IFERROR(IF(S17="Impacto",(M17-(+M17*V17)),IF(S17="Probabilidad",M17,"")),"")</f>
        <v>0.6</v>
      </c>
      <c r="AE17" s="516" t="str">
        <f>+CONCATENATE(AA17, " - ", AC17)</f>
        <v>Baja - Moderado</v>
      </c>
      <c r="AF17" s="517" t="str">
        <f>+VLOOKUP(AE17,[4]Datos!$J$4:$K$28,2,)</f>
        <v>MODERADO</v>
      </c>
      <c r="AG17" s="484" t="s">
        <v>45</v>
      </c>
      <c r="AH17" s="295"/>
      <c r="AI17" s="456" t="s">
        <v>318</v>
      </c>
      <c r="AJ17" s="310" t="s">
        <v>319</v>
      </c>
      <c r="AK17" s="457">
        <v>45017</v>
      </c>
      <c r="AM17" s="457">
        <v>45278</v>
      </c>
      <c r="AN17" s="518" t="s">
        <v>320</v>
      </c>
      <c r="AO17" s="486"/>
      <c r="AP17" s="519"/>
      <c r="AQ17" s="519"/>
      <c r="AR17" s="2"/>
      <c r="AS17" s="520" t="s">
        <v>321</v>
      </c>
      <c r="AT17" s="521" t="s">
        <v>322</v>
      </c>
    </row>
    <row r="18" spans="1:48" ht="149.25" customHeight="1" x14ac:dyDescent="0.25">
      <c r="A18" s="416"/>
      <c r="B18" s="417"/>
      <c r="C18" s="418"/>
      <c r="D18" s="418"/>
      <c r="E18" s="418"/>
      <c r="F18" s="499"/>
      <c r="G18" s="417"/>
      <c r="H18" s="417"/>
      <c r="I18" s="522"/>
      <c r="J18" s="325"/>
      <c r="K18" s="384"/>
      <c r="L18" s="417"/>
      <c r="M18" s="522"/>
      <c r="N18" s="523"/>
      <c r="O18" s="524"/>
      <c r="P18" s="240"/>
      <c r="Q18" s="296">
        <v>2</v>
      </c>
      <c r="R18" s="525" t="s">
        <v>323</v>
      </c>
      <c r="S18" s="526" t="s">
        <v>324</v>
      </c>
      <c r="T18" s="527" t="s">
        <v>217</v>
      </c>
      <c r="U18" s="527" t="s">
        <v>218</v>
      </c>
      <c r="V18" s="528">
        <v>0.4</v>
      </c>
      <c r="W18" s="527" t="s">
        <v>230</v>
      </c>
      <c r="X18" s="529" t="s">
        <v>325</v>
      </c>
      <c r="Y18" s="529" t="s">
        <v>326</v>
      </c>
      <c r="Z18" s="530">
        <f>IFERROR(IF(AND(S17="Probabilidad",S18="Probabilidad"),(AB17-(+AB17*V18)),IF(S18="Probabilidad",(I17-(+I17*V18)),IF(S18="Impacto",AB17,""))),"")</f>
        <v>0.216</v>
      </c>
      <c r="AA18" s="426" t="str">
        <f t="shared" si="2"/>
        <v>Baja</v>
      </c>
      <c r="AB18" s="531">
        <f t="shared" si="3"/>
        <v>0.216</v>
      </c>
      <c r="AC18" s="532" t="str">
        <f t="shared" si="4"/>
        <v>Moderado</v>
      </c>
      <c r="AD18" s="530">
        <f>IFERROR(IF(AND(S17="Impacto",S17="Impacto"),(AD17-(+AD17*V18)),IF(S18="Impacto",(M17-(+M17*V18)),IF(S18="Probabilidad",AD17,""))),"")</f>
        <v>0.6</v>
      </c>
      <c r="AE18" s="533" t="str">
        <f t="shared" ref="AE18:AE19" si="5">+CONCATENATE(AA18, " - ", AC18)</f>
        <v>Baja - Moderado</v>
      </c>
      <c r="AF18" s="534" t="str">
        <f>+VLOOKUP(AE18,[4]Datos!$J$4:$K$28,2,)</f>
        <v>MODERADO</v>
      </c>
      <c r="AG18" s="493"/>
      <c r="AH18" s="240"/>
      <c r="AI18" s="494"/>
      <c r="AJ18" s="341"/>
      <c r="AK18" s="495"/>
      <c r="AM18" s="495"/>
      <c r="AN18" s="535"/>
      <c r="AO18" s="497"/>
      <c r="AP18" s="536"/>
      <c r="AQ18" s="536"/>
      <c r="AR18" s="1"/>
      <c r="AS18" s="537"/>
      <c r="AT18" s="538" t="s">
        <v>327</v>
      </c>
    </row>
    <row r="19" spans="1:48" ht="195" customHeight="1" thickBot="1" x14ac:dyDescent="0.3">
      <c r="A19" s="353"/>
      <c r="B19" s="354"/>
      <c r="C19" s="355"/>
      <c r="D19" s="355"/>
      <c r="E19" s="355"/>
      <c r="F19" s="357"/>
      <c r="G19" s="354"/>
      <c r="H19" s="354"/>
      <c r="I19" s="539"/>
      <c r="J19" s="360"/>
      <c r="K19" s="361"/>
      <c r="L19" s="354"/>
      <c r="M19" s="539"/>
      <c r="N19" s="540"/>
      <c r="O19" s="541"/>
      <c r="P19" s="500"/>
      <c r="Q19" s="436">
        <v>3</v>
      </c>
      <c r="R19" s="349" t="s">
        <v>328</v>
      </c>
      <c r="S19" s="542" t="str">
        <f t="shared" si="0"/>
        <v>Impacto</v>
      </c>
      <c r="T19" s="438" t="s">
        <v>234</v>
      </c>
      <c r="U19" s="438" t="s">
        <v>218</v>
      </c>
      <c r="V19" s="543" t="str">
        <f t="shared" si="1"/>
        <v>25%</v>
      </c>
      <c r="W19" s="438" t="s">
        <v>230</v>
      </c>
      <c r="X19" s="350" t="s">
        <v>329</v>
      </c>
      <c r="Y19" s="331" t="s">
        <v>330</v>
      </c>
      <c r="Z19" s="544">
        <f>IFERROR(IF(AND(S18="Probabilidad",S19="Probabilidad"),(AB18-(+AB18*V19)),IF(S19="Probabilidad",(I18-(+I18*V19)),IF(S19="Impacto",AB18,""))),"")</f>
        <v>0.216</v>
      </c>
      <c r="AA19" s="438" t="str">
        <f t="shared" si="2"/>
        <v>Baja</v>
      </c>
      <c r="AB19" s="545">
        <f t="shared" si="3"/>
        <v>0.216</v>
      </c>
      <c r="AC19" s="546" t="str">
        <f t="shared" si="4"/>
        <v>Moderado</v>
      </c>
      <c r="AD19" s="544">
        <f>IFERROR(IF(AND(S18="Impacto",S18="Impacto"),(AD18-(+AD18*V19)),IF(S19="Impacto",(M17-(+M17*V19)),IF(S19="Probabilidad",AD18,""))),"")</f>
        <v>0.44999999999999996</v>
      </c>
      <c r="AE19" s="547" t="str">
        <f t="shared" si="5"/>
        <v>Baja - Moderado</v>
      </c>
      <c r="AF19" s="548" t="str">
        <f>+VLOOKUP(AE19,[4]Datos!$J$4:$K$28,2,)</f>
        <v>MODERADO</v>
      </c>
      <c r="AG19" s="501"/>
      <c r="AH19" s="500"/>
      <c r="AI19" s="468"/>
      <c r="AJ19" s="367"/>
      <c r="AK19" s="469"/>
      <c r="AM19" s="495"/>
      <c r="AN19" s="549"/>
      <c r="AO19" s="503"/>
      <c r="AP19" s="550"/>
      <c r="AQ19" s="550"/>
      <c r="AR19" s="1"/>
      <c r="AS19" s="551"/>
      <c r="AT19" s="552" t="s">
        <v>331</v>
      </c>
    </row>
    <row r="20" spans="1:48" ht="150.75" customHeight="1" x14ac:dyDescent="0.25">
      <c r="A20" s="376">
        <v>2</v>
      </c>
      <c r="B20" s="377" t="s">
        <v>211</v>
      </c>
      <c r="C20" s="378" t="s">
        <v>332</v>
      </c>
      <c r="D20" s="378" t="s">
        <v>333</v>
      </c>
      <c r="E20" s="378" t="s">
        <v>334</v>
      </c>
      <c r="F20" s="491"/>
      <c r="G20" s="377">
        <v>365</v>
      </c>
      <c r="H20" s="377" t="str">
        <f>IF(G20&lt;=0,"",IF(G20&lt;=2,"Muy Baja",IF(G20&lt;=24,"Baja",IF(G20&lt;=500,"Media",IF(G20&lt;=5000,"Alta","Muy Alta")))))</f>
        <v>Media</v>
      </c>
      <c r="I20" s="553">
        <f>IF(H20="","",IF(H20="Muy Baja",0.2,IF(H20="Baja",0.4,IF(H20="Media",0.6,IF(H20="Alta",0.8,IF(H20="Muy Alta",1,))))))</f>
        <v>0.6</v>
      </c>
      <c r="J20" s="325" t="s">
        <v>335</v>
      </c>
      <c r="K20" s="384" t="str">
        <f>+J20</f>
        <v>El riesgo afecta la imagen de la entidad con efecto publicitario sostenido a nivel de sector administrativo o distrital</v>
      </c>
      <c r="L20" s="554" t="str">
        <f>+VLOOKUP(K20,[4]Datos!$O$4:$P$15,2,FALSE)</f>
        <v>Mayor</v>
      </c>
      <c r="M20" s="553">
        <f>IF(L20="","",IF(L20="Leve",0.2,IF(L20="Menor",0.4,IF(L20="Moderado",0.6,IF(L20="Mayor",0.8,IF(L20="Catastrófico",1,))))))</f>
        <v>0.8</v>
      </c>
      <c r="N20" s="523" t="str">
        <f>+CONCATENATE(H20, " - ", L20)</f>
        <v>Media - Mayor</v>
      </c>
      <c r="O20" s="524" t="str">
        <f>+VLOOKUP(N20,[4]Datos!J10:K34,2,)</f>
        <v>ALTO</v>
      </c>
      <c r="P20" s="240"/>
      <c r="Q20" s="385">
        <v>1</v>
      </c>
      <c r="R20" s="555" t="s">
        <v>336</v>
      </c>
      <c r="S20" s="556" t="str">
        <f t="shared" si="0"/>
        <v>Probabilidad</v>
      </c>
      <c r="T20" s="387" t="s">
        <v>217</v>
      </c>
      <c r="U20" s="387" t="s">
        <v>337</v>
      </c>
      <c r="V20" s="557" t="str">
        <f t="shared" si="1"/>
        <v>50%</v>
      </c>
      <c r="W20" s="558" t="s">
        <v>338</v>
      </c>
      <c r="X20" s="558" t="s">
        <v>339</v>
      </c>
      <c r="Y20" s="559" t="s">
        <v>340</v>
      </c>
      <c r="Z20" s="560">
        <f>IFERROR(IF(S20="Probabilidad",(I20-(+I20*V20)),IF(S20="Impacto",I20,"")),"")</f>
        <v>0.3</v>
      </c>
      <c r="AA20" s="387" t="str">
        <f t="shared" si="2"/>
        <v>Baja</v>
      </c>
      <c r="AB20" s="561">
        <f t="shared" si="3"/>
        <v>0.3</v>
      </c>
      <c r="AC20" s="562" t="str">
        <f t="shared" si="4"/>
        <v>Mayor</v>
      </c>
      <c r="AD20" s="560">
        <f>IFERROR(IF(S20="Impacto",(M20-(+M20*V20)),IF(S20="Probabilidad",M20,"")),"")</f>
        <v>0.8</v>
      </c>
      <c r="AE20" s="563" t="str">
        <f>+CONCATENATE(AA20, " - ", AC20)</f>
        <v>Baja - Mayor</v>
      </c>
      <c r="AF20" s="564" t="str">
        <f>+VLOOKUP(AE20,[4]Datos!$J$4:$K$28,2,)</f>
        <v>ALTO</v>
      </c>
      <c r="AG20" s="565" t="s">
        <v>287</v>
      </c>
      <c r="AH20" s="240"/>
      <c r="AI20" s="566" t="s">
        <v>341</v>
      </c>
      <c r="AJ20" s="567" t="s">
        <v>342</v>
      </c>
      <c r="AK20" s="568" t="s">
        <v>343</v>
      </c>
      <c r="AM20" s="569">
        <v>45278</v>
      </c>
      <c r="AN20" s="570" t="s">
        <v>344</v>
      </c>
      <c r="AO20" s="571"/>
      <c r="AP20" s="519"/>
      <c r="AQ20" s="519"/>
      <c r="AR20" s="1"/>
      <c r="AS20" s="572" t="s">
        <v>345</v>
      </c>
      <c r="AT20" s="573" t="s">
        <v>346</v>
      </c>
    </row>
    <row r="21" spans="1:48" ht="111.75" customHeight="1" thickBot="1" x14ac:dyDescent="0.3">
      <c r="A21" s="416"/>
      <c r="B21" s="417"/>
      <c r="C21" s="418"/>
      <c r="D21" s="418"/>
      <c r="E21" s="418"/>
      <c r="F21" s="499"/>
      <c r="G21" s="417"/>
      <c r="H21" s="417"/>
      <c r="I21" s="522"/>
      <c r="J21" s="325"/>
      <c r="K21" s="384"/>
      <c r="L21" s="320"/>
      <c r="M21" s="522"/>
      <c r="N21" s="523"/>
      <c r="O21" s="524"/>
      <c r="P21" s="240"/>
      <c r="Q21" s="296">
        <v>2</v>
      </c>
      <c r="R21" s="492" t="s">
        <v>347</v>
      </c>
      <c r="S21" s="574" t="str">
        <f t="shared" si="0"/>
        <v>Impacto</v>
      </c>
      <c r="T21" s="426" t="s">
        <v>234</v>
      </c>
      <c r="U21" s="426" t="s">
        <v>337</v>
      </c>
      <c r="V21" s="575" t="str">
        <f t="shared" si="1"/>
        <v>35%</v>
      </c>
      <c r="W21" s="301" t="s">
        <v>348</v>
      </c>
      <c r="X21" s="301" t="s">
        <v>349</v>
      </c>
      <c r="Y21" s="301" t="s">
        <v>350</v>
      </c>
      <c r="Z21" s="530">
        <f>IFERROR(IF(AND(S20="Probabilidad",S21="Probabilidad"),(AB20-(+AB20*V21)),IF(S21="Probabilidad",(I20-(+I20*V21)),IF(S21="Impacto",AB20,""))),"")</f>
        <v>0.3</v>
      </c>
      <c r="AA21" s="426" t="str">
        <f t="shared" si="2"/>
        <v>Baja</v>
      </c>
      <c r="AB21" s="531">
        <f t="shared" si="3"/>
        <v>0.3</v>
      </c>
      <c r="AC21" s="532" t="str">
        <f t="shared" si="4"/>
        <v>Moderado</v>
      </c>
      <c r="AD21" s="530">
        <f>IFERROR(IF(AND(S20="Impacto",S20="Impacto"),(AD20-(+AD20*V21)),IF(S21="Impacto",(M20-(+M20*V21)),IF(S21="Probabilidad",AD20,""))),"")</f>
        <v>0.52</v>
      </c>
      <c r="AE21" s="533" t="str">
        <f t="shared" ref="AE21:AE23" si="6">+CONCATENATE(AA21, " - ", AC21)</f>
        <v>Baja - Moderado</v>
      </c>
      <c r="AF21" s="534" t="str">
        <f>+VLOOKUP(AE21,[4]Datos!$J$4:$K$28,2,)</f>
        <v>MODERADO</v>
      </c>
      <c r="AG21" s="493"/>
      <c r="AH21" s="240"/>
      <c r="AI21" s="576"/>
      <c r="AJ21" s="577"/>
      <c r="AK21" s="578"/>
      <c r="AM21" s="579"/>
      <c r="AN21" s="570"/>
      <c r="AO21" s="580"/>
      <c r="AP21" s="536"/>
      <c r="AQ21" s="536"/>
      <c r="AR21" s="1"/>
      <c r="AS21" s="581"/>
      <c r="AT21" s="582" t="s">
        <v>351</v>
      </c>
    </row>
    <row r="22" spans="1:48" ht="192" customHeight="1" x14ac:dyDescent="0.25">
      <c r="A22" s="416"/>
      <c r="B22" s="417"/>
      <c r="C22" s="418"/>
      <c r="D22" s="418"/>
      <c r="E22" s="418"/>
      <c r="F22" s="499"/>
      <c r="G22" s="417"/>
      <c r="H22" s="417"/>
      <c r="I22" s="522"/>
      <c r="J22" s="325"/>
      <c r="K22" s="384"/>
      <c r="L22" s="320"/>
      <c r="M22" s="522"/>
      <c r="N22" s="523"/>
      <c r="O22" s="524"/>
      <c r="P22" s="240"/>
      <c r="Q22" s="296">
        <v>3</v>
      </c>
      <c r="R22" s="492" t="s">
        <v>352</v>
      </c>
      <c r="S22" s="574" t="str">
        <f t="shared" si="0"/>
        <v>Impacto</v>
      </c>
      <c r="T22" s="426" t="s">
        <v>234</v>
      </c>
      <c r="U22" s="426" t="s">
        <v>337</v>
      </c>
      <c r="V22" s="575" t="str">
        <f t="shared" si="1"/>
        <v>35%</v>
      </c>
      <c r="W22" s="301" t="s">
        <v>353</v>
      </c>
      <c r="X22" s="426" t="s">
        <v>349</v>
      </c>
      <c r="Y22" s="301" t="s">
        <v>350</v>
      </c>
      <c r="Z22" s="530">
        <f>IFERROR(IF(AND(S21="Probabilidad",S22="Probabilidad"),(AB21-(+AB21*V22)),IF(S22="Probabilidad",(I21-(+I21*V22)),IF(S22="Impacto",AB21,""))),"")</f>
        <v>0.3</v>
      </c>
      <c r="AA22" s="426" t="str">
        <f t="shared" si="2"/>
        <v>Baja</v>
      </c>
      <c r="AB22" s="531">
        <f t="shared" si="3"/>
        <v>0.3</v>
      </c>
      <c r="AC22" s="532" t="str">
        <f t="shared" si="4"/>
        <v>Menor</v>
      </c>
      <c r="AD22" s="530">
        <f>IFERROR(IF(AND(S21="Impacto",S21="Impacto"),(AD21-(+AD21*V22)),IF(S22="Impacto",(M20-(+M20*V22)),IF(S22="Probabilidad",AD21,""))),"")</f>
        <v>0.33800000000000002</v>
      </c>
      <c r="AE22" s="533" t="str">
        <f t="shared" si="6"/>
        <v>Baja - Menor</v>
      </c>
      <c r="AF22" s="534" t="str">
        <f>+VLOOKUP(AE22,[4]Datos!$J$4:$K$28,2,)</f>
        <v>MODERADO</v>
      </c>
      <c r="AG22" s="493"/>
      <c r="AH22" s="240"/>
      <c r="AI22" s="566" t="s">
        <v>354</v>
      </c>
      <c r="AJ22" s="567" t="s">
        <v>342</v>
      </c>
      <c r="AK22" s="568" t="s">
        <v>343</v>
      </c>
      <c r="AM22" s="579"/>
      <c r="AN22" s="570"/>
      <c r="AO22" s="580"/>
      <c r="AP22" s="536"/>
      <c r="AQ22" s="536"/>
      <c r="AR22" s="1"/>
      <c r="AS22" s="581"/>
      <c r="AT22" s="582" t="s">
        <v>355</v>
      </c>
    </row>
    <row r="23" spans="1:48" ht="187.5" customHeight="1" thickBot="1" x14ac:dyDescent="0.3">
      <c r="A23" s="353"/>
      <c r="B23" s="354"/>
      <c r="C23" s="355"/>
      <c r="D23" s="355"/>
      <c r="E23" s="355"/>
      <c r="F23" s="357"/>
      <c r="G23" s="354"/>
      <c r="H23" s="354"/>
      <c r="I23" s="539"/>
      <c r="J23" s="360"/>
      <c r="K23" s="361"/>
      <c r="L23" s="377"/>
      <c r="M23" s="539"/>
      <c r="N23" s="540"/>
      <c r="O23" s="541"/>
      <c r="P23" s="240"/>
      <c r="Q23" s="436">
        <v>4</v>
      </c>
      <c r="R23" s="329" t="s">
        <v>356</v>
      </c>
      <c r="S23" s="542" t="str">
        <f t="shared" si="0"/>
        <v>Impacto</v>
      </c>
      <c r="T23" s="438" t="s">
        <v>234</v>
      </c>
      <c r="U23" s="438" t="s">
        <v>337</v>
      </c>
      <c r="V23" s="543" t="str">
        <f t="shared" si="1"/>
        <v>35%</v>
      </c>
      <c r="W23" s="331" t="s">
        <v>357</v>
      </c>
      <c r="X23" s="438" t="s">
        <v>349</v>
      </c>
      <c r="Y23" s="331" t="s">
        <v>358</v>
      </c>
      <c r="Z23" s="544">
        <f>IFERROR(IF(AND(S22="Probabilidad",S23="Probabilidad"),(AB22-(+AB22*V23)),IF(S23="Probabilidad",(I22-(+I22*V23)),IF(S23="Impacto",AB22,""))),"")</f>
        <v>0.3</v>
      </c>
      <c r="AA23" s="438" t="str">
        <f t="shared" si="2"/>
        <v>Baja</v>
      </c>
      <c r="AB23" s="545">
        <f t="shared" si="3"/>
        <v>0.3</v>
      </c>
      <c r="AC23" s="546" t="str">
        <f t="shared" si="4"/>
        <v>Menor</v>
      </c>
      <c r="AD23" s="544">
        <f>IFERROR(IF(AND(S22="Impacto",S22="Impacto"),(AD22-(+AD22*V23)),IF(S23="Impacto",(M21-(+M21*V23)),IF(S23="Probabilidad",AD22,""))),"")</f>
        <v>0.21970000000000001</v>
      </c>
      <c r="AE23" s="547" t="str">
        <f t="shared" si="6"/>
        <v>Baja - Menor</v>
      </c>
      <c r="AF23" s="548" t="str">
        <f>+VLOOKUP(AE23,[4]Datos!$J$4:$K$28,2,)</f>
        <v>MODERADO</v>
      </c>
      <c r="AG23" s="501"/>
      <c r="AH23" s="240"/>
      <c r="AI23" s="576"/>
      <c r="AJ23" s="577"/>
      <c r="AK23" s="578"/>
      <c r="AM23" s="583"/>
      <c r="AN23" s="584"/>
      <c r="AO23" s="585"/>
      <c r="AP23" s="586"/>
      <c r="AQ23" s="586"/>
      <c r="AR23" s="1"/>
      <c r="AS23" s="587"/>
      <c r="AT23" s="588" t="s">
        <v>359</v>
      </c>
      <c r="AU23" s="318"/>
    </row>
    <row r="24" spans="1:48" x14ac:dyDescent="0.25">
      <c r="P24" s="240"/>
      <c r="AN24" s="589"/>
      <c r="AR24" s="1"/>
    </row>
    <row r="25" spans="1:48" x14ac:dyDescent="0.25">
      <c r="AT25" s="318"/>
    </row>
    <row r="26" spans="1:48" x14ac:dyDescent="0.25">
      <c r="P26" s="240"/>
    </row>
    <row r="27" spans="1:48" x14ac:dyDescent="0.25">
      <c r="AV27" s="318"/>
    </row>
    <row r="28" spans="1:48" x14ac:dyDescent="0.25">
      <c r="P28" s="240"/>
    </row>
    <row r="29" spans="1:48" x14ac:dyDescent="0.25">
      <c r="AT29" s="318"/>
    </row>
    <row r="30" spans="1:48" x14ac:dyDescent="0.25">
      <c r="P30" s="240"/>
      <c r="AT30" s="318"/>
    </row>
    <row r="31" spans="1:48" x14ac:dyDescent="0.25">
      <c r="P31" s="240"/>
    </row>
    <row r="32" spans="1:48" x14ac:dyDescent="0.25">
      <c r="P32" s="240"/>
    </row>
    <row r="33" spans="16:16" x14ac:dyDescent="0.25">
      <c r="P33" s="240"/>
    </row>
  </sheetData>
  <mergeCells count="77">
    <mergeCell ref="AO20:AO23"/>
    <mergeCell ref="AP20:AP23"/>
    <mergeCell ref="AQ20:AQ23"/>
    <mergeCell ref="AS20:AS23"/>
    <mergeCell ref="AI22:AI23"/>
    <mergeCell ref="AJ22:AJ23"/>
    <mergeCell ref="AK22:AK23"/>
    <mergeCell ref="AG20:AG23"/>
    <mergeCell ref="AI20:AI21"/>
    <mergeCell ref="AJ20:AJ21"/>
    <mergeCell ref="AK20:AK21"/>
    <mergeCell ref="AM20:AM23"/>
    <mergeCell ref="AN20:AN23"/>
    <mergeCell ref="J20:J23"/>
    <mergeCell ref="K20:K23"/>
    <mergeCell ref="L20:L23"/>
    <mergeCell ref="M20:M23"/>
    <mergeCell ref="N20:N23"/>
    <mergeCell ref="O20:O23"/>
    <mergeCell ref="AS17:AS19"/>
    <mergeCell ref="A20:A23"/>
    <mergeCell ref="B20:B23"/>
    <mergeCell ref="C20:C23"/>
    <mergeCell ref="D20:D23"/>
    <mergeCell ref="E20:E23"/>
    <mergeCell ref="F20:F23"/>
    <mergeCell ref="G20:G23"/>
    <mergeCell ref="H20:H23"/>
    <mergeCell ref="I20:I23"/>
    <mergeCell ref="AK17:AK19"/>
    <mergeCell ref="AM17:AM19"/>
    <mergeCell ref="AN17:AN19"/>
    <mergeCell ref="AO17:AO19"/>
    <mergeCell ref="AP17:AP19"/>
    <mergeCell ref="AQ17:AQ19"/>
    <mergeCell ref="M17:M19"/>
    <mergeCell ref="N17:N19"/>
    <mergeCell ref="O17:O19"/>
    <mergeCell ref="AG17:AG19"/>
    <mergeCell ref="AI17:AI19"/>
    <mergeCell ref="AJ17:AJ19"/>
    <mergeCell ref="G17:G19"/>
    <mergeCell ref="H17:H19"/>
    <mergeCell ref="I17:I19"/>
    <mergeCell ref="J17:J19"/>
    <mergeCell ref="K17:K19"/>
    <mergeCell ref="L17:L19"/>
    <mergeCell ref="A17:A19"/>
    <mergeCell ref="B17:B19"/>
    <mergeCell ref="C17:C19"/>
    <mergeCell ref="D17:D19"/>
    <mergeCell ref="E17:E19"/>
    <mergeCell ref="F17:F19"/>
    <mergeCell ref="A14:O15"/>
    <mergeCell ref="Q14:AG14"/>
    <mergeCell ref="AI14:AK15"/>
    <mergeCell ref="AM14:AQ15"/>
    <mergeCell ref="AS14:AT15"/>
    <mergeCell ref="T15:Y15"/>
    <mergeCell ref="Z15:AG15"/>
    <mergeCell ref="AS7:AT8"/>
    <mergeCell ref="A10:C10"/>
    <mergeCell ref="D10:M10"/>
    <mergeCell ref="A11:C11"/>
    <mergeCell ref="D11:M11"/>
    <mergeCell ref="A12:C12"/>
    <mergeCell ref="D12:M12"/>
    <mergeCell ref="A1:B8"/>
    <mergeCell ref="C1:AP4"/>
    <mergeCell ref="AQ1:AR2"/>
    <mergeCell ref="AS1:AT2"/>
    <mergeCell ref="AQ3:AR4"/>
    <mergeCell ref="AS3:AT4"/>
    <mergeCell ref="C5:AP8"/>
    <mergeCell ref="AQ5:AR6"/>
    <mergeCell ref="AS5:AT6"/>
    <mergeCell ref="AQ7:AR8"/>
  </mergeCells>
  <conditionalFormatting sqref="H17:H23">
    <cfRule type="cellIs" dxfId="28" priority="25" operator="equal">
      <formula>"Muy Alta"</formula>
    </cfRule>
    <cfRule type="cellIs" dxfId="27" priority="26" operator="equal">
      <formula>"Alta"</formula>
    </cfRule>
    <cfRule type="cellIs" dxfId="26" priority="27" operator="equal">
      <formula>"Media"</formula>
    </cfRule>
    <cfRule type="cellIs" dxfId="25" priority="28" operator="equal">
      <formula>"Muy Baja"</formula>
    </cfRule>
    <cfRule type="cellIs" dxfId="24" priority="29" operator="equal">
      <formula>"Baja"</formula>
    </cfRule>
  </conditionalFormatting>
  <conditionalFormatting sqref="L17:L20">
    <cfRule type="cellIs" dxfId="23" priority="20" operator="equal">
      <formula>"Leve"</formula>
    </cfRule>
    <cfRule type="cellIs" dxfId="22" priority="21" operator="equal">
      <formula>"Catastrófico"</formula>
    </cfRule>
    <cfRule type="cellIs" dxfId="21" priority="22" operator="equal">
      <formula>"Mayor"</formula>
    </cfRule>
    <cfRule type="cellIs" dxfId="20" priority="23" operator="equal">
      <formula>"Moderado"</formula>
    </cfRule>
    <cfRule type="cellIs" dxfId="19" priority="24" operator="equal">
      <formula>"Menor"</formula>
    </cfRule>
  </conditionalFormatting>
  <conditionalFormatting sqref="O17:O23">
    <cfRule type="cellIs" dxfId="18" priority="16" operator="equal">
      <formula>"EXTREMO"</formula>
    </cfRule>
    <cfRule type="cellIs" dxfId="17" priority="17" operator="equal">
      <formula>"ALTO"</formula>
    </cfRule>
    <cfRule type="cellIs" dxfId="16" priority="18" operator="equal">
      <formula>"BAJO"</formula>
    </cfRule>
    <cfRule type="cellIs" dxfId="15" priority="19" operator="equal">
      <formula>"MODERADO"</formula>
    </cfRule>
  </conditionalFormatting>
  <conditionalFormatting sqref="AA17:AA22">
    <cfRule type="cellIs" dxfId="14" priority="15" operator="equal">
      <formula>"B+$Z$17Muy Baja"</formula>
    </cfRule>
  </conditionalFormatting>
  <conditionalFormatting sqref="AA17:AA23">
    <cfRule type="cellIs" dxfId="13" priority="11" operator="equal">
      <formula>"Baja"</formula>
    </cfRule>
    <cfRule type="cellIs" dxfId="12" priority="12" operator="equal">
      <formula>"Media"</formula>
    </cfRule>
    <cfRule type="cellIs" dxfId="11" priority="13" operator="equal">
      <formula>"Muy Alta"</formula>
    </cfRule>
    <cfRule type="cellIs" dxfId="10" priority="14" operator="equal">
      <formula>"Alta"</formula>
    </cfRule>
  </conditionalFormatting>
  <conditionalFormatting sqref="AA23">
    <cfRule type="cellIs" dxfId="9" priority="10" operator="equal">
      <formula>"Muy Baja"</formula>
    </cfRule>
  </conditionalFormatting>
  <conditionalFormatting sqref="AC17:AC23">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F17:AF23">
    <cfRule type="cellIs" dxfId="3" priority="1" operator="equal">
      <formula>"EXTREMO"</formula>
    </cfRule>
    <cfRule type="cellIs" dxfId="2" priority="2" operator="equal">
      <formula>"ALTO"</formula>
    </cfRule>
    <cfRule type="cellIs" dxfId="1" priority="3" operator="equal">
      <formula>"BAJO"</formula>
    </cfRule>
    <cfRule type="cellIs" dxfId="0"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'C:\Users\caguerra\Downloads\[Mapa de Riesgos de gestión 2023 - Gestión de Tics III Seguimiento.xlsx]Datos'!#REF!</xm:f>
          </x14:formula1>
          <xm:sqref>U17 U19:U23</xm:sqref>
        </x14:dataValidation>
        <x14:dataValidation type="list" allowBlank="1" showInputMessage="1" showErrorMessage="1">
          <x14:formula1>
            <xm:f>'C:\Users\caguerra\Downloads\[Mapa de Riesgos de gestión 2023 - Gestión de Tics III Seguimiento.xlsx]Datos'!#REF!</xm:f>
          </x14:formula1>
          <xm:sqref>T17 T19:T23</xm:sqref>
        </x14:dataValidation>
        <x14:dataValidation type="list" allowBlank="1" showInputMessage="1" showErrorMessage="1">
          <x14:formula1>
            <xm:f>'C:\Users\caguerra\Downloads\[Mapa de Riesgos de gestión 2023 - Gestión de Tics III Seguimiento.xlsx]Datos'!#REF!</xm:f>
          </x14:formula1>
          <xm:sqref>J17:J23</xm:sqref>
        </x14:dataValidation>
        <x14:dataValidation type="list" allowBlank="1" showInputMessage="1" showErrorMessage="1">
          <x14:formula1>
            <xm:f>'C:\Users\caguerra\Downloads\[Mapa de Riesgos de gestión 2023 - Gestión de Tics III Seguimiento.xlsx]Datos'!#REF!</xm:f>
          </x14:formula1>
          <xm:sqref>B17:B23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7" ma:contentTypeDescription="Crear nuevo documento." ma:contentTypeScope="" ma:versionID="bf8ed9edae27faef25d81870691d2e91">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53f429d4c97a047e3e9a12ccf7533661"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B77E6D-1ABB-4DE4-BCD6-99687ED1743A}">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2.xml><?xml version="1.0" encoding="utf-8"?>
<ds:datastoreItem xmlns:ds="http://schemas.openxmlformats.org/officeDocument/2006/customXml" ds:itemID="{389C3A11-11C9-4FD6-82AF-5B48ABE513AD}">
  <ds:schemaRefs>
    <ds:schemaRef ds:uri="http://schemas.microsoft.com/sharepoint/v3/contenttype/forms"/>
  </ds:schemaRefs>
</ds:datastoreItem>
</file>

<file path=customXml/itemProps3.xml><?xml version="1.0" encoding="utf-8"?>
<ds:datastoreItem xmlns:ds="http://schemas.openxmlformats.org/officeDocument/2006/customXml" ds:itemID="{AB4A54DD-E09B-40C0-BAA9-D695E9D48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Datos</vt:lpstr>
      <vt:lpstr>Direccionamiento Estrategico</vt:lpstr>
      <vt:lpstr>Servicio a la Ciudadania</vt:lpstr>
      <vt:lpstr>Comunicacion Estrategica</vt:lpstr>
      <vt:lpstr>Gestion del Conocimiento</vt:lpstr>
      <vt:lpstr>Gestión Tics</vt:lpstr>
      <vt:lpstr>'Comunicacion Estrategica'!Área_de_impresión</vt:lpstr>
      <vt:lpstr>'Direccionamiento Estrategico'!Área_de_impresión</vt:lpstr>
      <vt:lpstr>'Gestion del Conocimiento'!Área_de_impresión</vt:lpstr>
      <vt:lpstr>'Gestión Tics'!Área_de_impresión</vt:lpstr>
      <vt:lpstr>'Servicio a la Ciudadania'!Área_de_impresión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Carlos Andres, Guerra Jimenez</cp:lastModifiedBy>
  <cp:revision/>
  <dcterms:created xsi:type="dcterms:W3CDTF">2020-01-16T20:08:19Z</dcterms:created>
  <dcterms:modified xsi:type="dcterms:W3CDTF">2024-01-10T20:19:25Z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